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charts/chart5.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13725" windowHeight="7605" firstSheet="1" activeTab="1"/>
  </bookViews>
  <sheets>
    <sheet name="Chart1" sheetId="4" r:id="rId1"/>
    <sheet name="Retirement Planning" sheetId="7" r:id="rId2"/>
    <sheet name="Projected Retirement Drawdown" sheetId="8" r:id="rId3"/>
  </sheets>
  <calcPr calcId="145621"/>
</workbook>
</file>

<file path=xl/calcChain.xml><?xml version="1.0" encoding="utf-8"?>
<calcChain xmlns="http://schemas.openxmlformats.org/spreadsheetml/2006/main">
  <c r="J26" i="7" l="1"/>
  <c r="H21" i="8"/>
  <c r="H33" i="8"/>
  <c r="H45" i="8"/>
  <c r="H57" i="8"/>
  <c r="H69" i="8"/>
  <c r="H81" i="8"/>
  <c r="H93" i="8"/>
  <c r="H105" i="8"/>
  <c r="H117" i="8"/>
  <c r="H129" i="8"/>
  <c r="H141" i="8"/>
  <c r="H153" i="8"/>
  <c r="H165" i="8"/>
  <c r="H10" i="8"/>
  <c r="K56" i="7" l="1"/>
  <c r="K57" i="7" s="1"/>
  <c r="K58" i="7" s="1"/>
  <c r="K59" i="7" s="1"/>
  <c r="K48" i="7"/>
  <c r="K49" i="7" s="1"/>
  <c r="K50" i="7" s="1"/>
  <c r="K51" i="7" s="1"/>
  <c r="C207" i="7" l="1"/>
  <c r="C208" i="7" s="1"/>
  <c r="C209" i="7" s="1"/>
  <c r="C210" i="7" s="1"/>
  <c r="C211" i="7" s="1"/>
  <c r="C212" i="7" s="1"/>
  <c r="C213" i="7" s="1"/>
  <c r="C214" i="7" s="1"/>
  <c r="C215" i="7" s="1"/>
  <c r="C216" i="7" s="1"/>
  <c r="C217" i="7" s="1"/>
  <c r="C218" i="7" s="1"/>
  <c r="C219" i="7" s="1"/>
  <c r="C220" i="7" s="1"/>
  <c r="C221" i="7" s="1"/>
  <c r="C222" i="7" s="1"/>
  <c r="C223" i="7" s="1"/>
  <c r="C224" i="7" s="1"/>
  <c r="C225" i="7" s="1"/>
  <c r="C226" i="7" s="1"/>
  <c r="C227" i="7" s="1"/>
  <c r="C228" i="7" s="1"/>
  <c r="C229" i="7" s="1"/>
  <c r="C230" i="7" s="1"/>
  <c r="C231" i="7" s="1"/>
  <c r="C232" i="7" s="1"/>
  <c r="C233" i="7" s="1"/>
  <c r="C234" i="7" s="1"/>
  <c r="C235" i="7" s="1"/>
  <c r="C236" i="7" s="1"/>
  <c r="C237" i="7" s="1"/>
  <c r="C238" i="7" s="1"/>
  <c r="C239" i="7" s="1"/>
  <c r="C240" i="7" s="1"/>
  <c r="C241" i="7" s="1"/>
  <c r="C242" i="7" s="1"/>
  <c r="C243" i="7" s="1"/>
  <c r="C244" i="7" s="1"/>
  <c r="C245" i="7" s="1"/>
  <c r="C246" i="7" s="1"/>
  <c r="C247" i="7" s="1"/>
  <c r="C248" i="7" s="1"/>
  <c r="C249" i="7" s="1"/>
  <c r="C250" i="7" s="1"/>
  <c r="C251" i="7" s="1"/>
  <c r="C252" i="7" s="1"/>
  <c r="C253" i="7" s="1"/>
  <c r="C254" i="7" s="1"/>
  <c r="C255" i="7" s="1"/>
  <c r="C256" i="7" s="1"/>
  <c r="C257" i="7" s="1"/>
  <c r="C258" i="7" s="1"/>
  <c r="C259" i="7" s="1"/>
  <c r="C260" i="7" s="1"/>
  <c r="C261" i="7" s="1"/>
  <c r="C262" i="7" s="1"/>
  <c r="C263" i="7" s="1"/>
  <c r="C264" i="7" s="1"/>
  <c r="AA11" i="8"/>
  <c r="AA12" i="8" s="1"/>
  <c r="AA13" i="8" s="1"/>
  <c r="AA14" i="8" s="1"/>
  <c r="AA15" i="8" s="1"/>
  <c r="AA16" i="8" s="1"/>
  <c r="AA17" i="8" s="1"/>
  <c r="AA18" i="8" s="1"/>
  <c r="AA19" i="8" s="1"/>
  <c r="AA20" i="8" s="1"/>
  <c r="AA21" i="8" s="1"/>
  <c r="P26" i="7" l="1"/>
  <c r="P27" i="7" s="1"/>
  <c r="P28" i="7" s="1"/>
  <c r="P29" i="7" s="1"/>
  <c r="P30" i="7" s="1"/>
  <c r="P31" i="7" s="1"/>
  <c r="P32" i="7" s="1"/>
  <c r="P33" i="7" s="1"/>
  <c r="P19" i="7"/>
  <c r="P20" i="7" s="1"/>
  <c r="P21" i="7" s="1"/>
  <c r="P22" i="7" s="1"/>
  <c r="P11" i="7"/>
  <c r="P12" i="7" s="1"/>
  <c r="P13" i="7" s="1"/>
  <c r="F24" i="7"/>
  <c r="AE11" i="8"/>
  <c r="AF11" i="8"/>
  <c r="AE12" i="8"/>
  <c r="AF12" i="8"/>
  <c r="AE13" i="8"/>
  <c r="AF13" i="8"/>
  <c r="AE14" i="8"/>
  <c r="AF14" i="8"/>
  <c r="AE15" i="8"/>
  <c r="AF15" i="8"/>
  <c r="AE16" i="8"/>
  <c r="AF16" i="8"/>
  <c r="AE17" i="8"/>
  <c r="AF17" i="8"/>
  <c r="AE18" i="8"/>
  <c r="AF18" i="8"/>
  <c r="AE19" i="8"/>
  <c r="AF19" i="8"/>
  <c r="AE20" i="8"/>
  <c r="AF20" i="8"/>
  <c r="AE21" i="8"/>
  <c r="AF21" i="8"/>
  <c r="AE22" i="8"/>
  <c r="AF22" i="8"/>
  <c r="AE23" i="8"/>
  <c r="AF23" i="8"/>
  <c r="AE24" i="8"/>
  <c r="AF24" i="8"/>
  <c r="AE25" i="8"/>
  <c r="AF25" i="8"/>
  <c r="AE26" i="8"/>
  <c r="AF26" i="8"/>
  <c r="AE27" i="8"/>
  <c r="AF27" i="8"/>
  <c r="AE28" i="8"/>
  <c r="AF28" i="8"/>
  <c r="AE29" i="8"/>
  <c r="AF29" i="8"/>
  <c r="AE30" i="8"/>
  <c r="AF30" i="8"/>
  <c r="AE31" i="8"/>
  <c r="AF31" i="8"/>
  <c r="AE32" i="8"/>
  <c r="AF32" i="8"/>
  <c r="AE33" i="8"/>
  <c r="AF33" i="8"/>
  <c r="AE34" i="8"/>
  <c r="AF34" i="8"/>
  <c r="AE35" i="8"/>
  <c r="AF35" i="8"/>
  <c r="AE36" i="8"/>
  <c r="AF36" i="8"/>
  <c r="AE37" i="8"/>
  <c r="AF37" i="8"/>
  <c r="AE38" i="8"/>
  <c r="AF38" i="8"/>
  <c r="AE39" i="8"/>
  <c r="AF39" i="8"/>
  <c r="AE40" i="8"/>
  <c r="AF40" i="8"/>
  <c r="AE41" i="8"/>
  <c r="AF41" i="8"/>
  <c r="AE42" i="8"/>
  <c r="AF42" i="8"/>
  <c r="AE43" i="8"/>
  <c r="AF43" i="8"/>
  <c r="AE44" i="8"/>
  <c r="AF44" i="8"/>
  <c r="AE45" i="8"/>
  <c r="AF45" i="8"/>
  <c r="AE46" i="8"/>
  <c r="AF46" i="8"/>
  <c r="AE47" i="8"/>
  <c r="AF47" i="8"/>
  <c r="AE48" i="8"/>
  <c r="AF48" i="8"/>
  <c r="AE49" i="8"/>
  <c r="AF49" i="8"/>
  <c r="AE50" i="8"/>
  <c r="AF50" i="8"/>
  <c r="AE51" i="8"/>
  <c r="AF51" i="8"/>
  <c r="AE52" i="8"/>
  <c r="AF52" i="8"/>
  <c r="AE53" i="8"/>
  <c r="AF53" i="8"/>
  <c r="AE54" i="8"/>
  <c r="AF54" i="8"/>
  <c r="AE55" i="8"/>
  <c r="AF55" i="8"/>
  <c r="AE56" i="8"/>
  <c r="AF56" i="8"/>
  <c r="AE57" i="8"/>
  <c r="AF57" i="8"/>
  <c r="AE58" i="8"/>
  <c r="AF58" i="8"/>
  <c r="AE59" i="8"/>
  <c r="AF59" i="8"/>
  <c r="AE60" i="8"/>
  <c r="AF60" i="8"/>
  <c r="AE61" i="8"/>
  <c r="AF61" i="8"/>
  <c r="AE62" i="8"/>
  <c r="AF62" i="8"/>
  <c r="AE63" i="8"/>
  <c r="AF63" i="8"/>
  <c r="AE64" i="8"/>
  <c r="AF64" i="8"/>
  <c r="AE65" i="8"/>
  <c r="AF65" i="8"/>
  <c r="AE66" i="8"/>
  <c r="AF66" i="8"/>
  <c r="AE67" i="8"/>
  <c r="AF67" i="8"/>
  <c r="AE68" i="8"/>
  <c r="AF68" i="8"/>
  <c r="AE69" i="8"/>
  <c r="AF69" i="8"/>
  <c r="AE70" i="8"/>
  <c r="AF70" i="8"/>
  <c r="AE71" i="8"/>
  <c r="AF71" i="8"/>
  <c r="AE72" i="8"/>
  <c r="AF72" i="8"/>
  <c r="AE73" i="8"/>
  <c r="AF73" i="8"/>
  <c r="AE74" i="8"/>
  <c r="AF74" i="8"/>
  <c r="AE75" i="8"/>
  <c r="AF75" i="8"/>
  <c r="AE76" i="8"/>
  <c r="AF76" i="8"/>
  <c r="AE77" i="8"/>
  <c r="AF77" i="8"/>
  <c r="AE78" i="8"/>
  <c r="AF78" i="8"/>
  <c r="AE79" i="8"/>
  <c r="AF79" i="8"/>
  <c r="AE80" i="8"/>
  <c r="AF80" i="8"/>
  <c r="AE81" i="8"/>
  <c r="AF81" i="8"/>
  <c r="AE82" i="8"/>
  <c r="AF82" i="8"/>
  <c r="AE83" i="8"/>
  <c r="AF83" i="8"/>
  <c r="AE84" i="8"/>
  <c r="AF84" i="8"/>
  <c r="AE85" i="8"/>
  <c r="AF85" i="8"/>
  <c r="AE86" i="8"/>
  <c r="AF86" i="8"/>
  <c r="AE87" i="8"/>
  <c r="AF87" i="8"/>
  <c r="AE88" i="8"/>
  <c r="AF88" i="8"/>
  <c r="AE89" i="8"/>
  <c r="AF89" i="8"/>
  <c r="AE90" i="8"/>
  <c r="AF90" i="8"/>
  <c r="AE91" i="8"/>
  <c r="AF91" i="8"/>
  <c r="AE92" i="8"/>
  <c r="AF92" i="8"/>
  <c r="AE93" i="8"/>
  <c r="AF93" i="8"/>
  <c r="AE94" i="8"/>
  <c r="AF94" i="8"/>
  <c r="AE95" i="8"/>
  <c r="AF95" i="8"/>
  <c r="AE96" i="8"/>
  <c r="AF96" i="8"/>
  <c r="AE97" i="8"/>
  <c r="AF97" i="8"/>
  <c r="AE98" i="8"/>
  <c r="AF98" i="8"/>
  <c r="AE99" i="8"/>
  <c r="AF99" i="8"/>
  <c r="AE100" i="8"/>
  <c r="AF100" i="8"/>
  <c r="AE101" i="8"/>
  <c r="AF101" i="8"/>
  <c r="AE102" i="8"/>
  <c r="AF102" i="8"/>
  <c r="AE103" i="8"/>
  <c r="AF103" i="8"/>
  <c r="AE104" i="8"/>
  <c r="AF104" i="8"/>
  <c r="AE105" i="8"/>
  <c r="AF105" i="8"/>
  <c r="AE106" i="8"/>
  <c r="AF106" i="8"/>
  <c r="AE107" i="8"/>
  <c r="AF107" i="8"/>
  <c r="AE108" i="8"/>
  <c r="AF108" i="8"/>
  <c r="AE109" i="8"/>
  <c r="AF109" i="8"/>
  <c r="AE110" i="8"/>
  <c r="AF110" i="8"/>
  <c r="AE111" i="8"/>
  <c r="AF111" i="8"/>
  <c r="AE112" i="8"/>
  <c r="AF112" i="8"/>
  <c r="AE113" i="8"/>
  <c r="AF113" i="8"/>
  <c r="AE114" i="8"/>
  <c r="AF114" i="8"/>
  <c r="AE115" i="8"/>
  <c r="AF115" i="8"/>
  <c r="AE116" i="8"/>
  <c r="AF116" i="8"/>
  <c r="AE117" i="8"/>
  <c r="AF117" i="8"/>
  <c r="AE118" i="8"/>
  <c r="AF118" i="8"/>
  <c r="AE119" i="8"/>
  <c r="AF119" i="8"/>
  <c r="AE120" i="8"/>
  <c r="AF120" i="8"/>
  <c r="AE121" i="8"/>
  <c r="AF121" i="8"/>
  <c r="AE122" i="8"/>
  <c r="AF122" i="8"/>
  <c r="AE123" i="8"/>
  <c r="AF123" i="8"/>
  <c r="AE124" i="8"/>
  <c r="AF124" i="8"/>
  <c r="AE125" i="8"/>
  <c r="AF125" i="8"/>
  <c r="AE126" i="8"/>
  <c r="AF126" i="8"/>
  <c r="AE127" i="8"/>
  <c r="AF127" i="8"/>
  <c r="AE128" i="8"/>
  <c r="AF128" i="8"/>
  <c r="AE129" i="8"/>
  <c r="AF129" i="8"/>
  <c r="AE130" i="8"/>
  <c r="AF130" i="8"/>
  <c r="AE131" i="8"/>
  <c r="AF131" i="8"/>
  <c r="AE132" i="8"/>
  <c r="AF132" i="8"/>
  <c r="AE133" i="8"/>
  <c r="AF133" i="8"/>
  <c r="AE134" i="8"/>
  <c r="AF134" i="8"/>
  <c r="AE135" i="8"/>
  <c r="AF135" i="8"/>
  <c r="AE136" i="8"/>
  <c r="AF136" i="8"/>
  <c r="AE137" i="8"/>
  <c r="AF137" i="8"/>
  <c r="AE138" i="8"/>
  <c r="AF138" i="8"/>
  <c r="AE139" i="8"/>
  <c r="AF139" i="8"/>
  <c r="AE140" i="8"/>
  <c r="AF140" i="8"/>
  <c r="AE141" i="8"/>
  <c r="AF141" i="8"/>
  <c r="AE142" i="8"/>
  <c r="AF142" i="8"/>
  <c r="AE143" i="8"/>
  <c r="AF143" i="8"/>
  <c r="AE144" i="8"/>
  <c r="AF144" i="8"/>
  <c r="AE145" i="8"/>
  <c r="AF145" i="8"/>
  <c r="AE146" i="8"/>
  <c r="AF146" i="8"/>
  <c r="AE147" i="8"/>
  <c r="AF147" i="8"/>
  <c r="AE148" i="8"/>
  <c r="AF148" i="8"/>
  <c r="AE149" i="8"/>
  <c r="AF149" i="8"/>
  <c r="AE150" i="8"/>
  <c r="AF150" i="8"/>
  <c r="AE151" i="8"/>
  <c r="AF151" i="8"/>
  <c r="AE152" i="8"/>
  <c r="AF152" i="8"/>
  <c r="AE153" i="8"/>
  <c r="AF153" i="8"/>
  <c r="AE154" i="8"/>
  <c r="AF154" i="8"/>
  <c r="AE155" i="8"/>
  <c r="AF155" i="8"/>
  <c r="AE156" i="8"/>
  <c r="AF156" i="8"/>
  <c r="AE157" i="8"/>
  <c r="AF157" i="8"/>
  <c r="AE158" i="8"/>
  <c r="AF158" i="8"/>
  <c r="AE159" i="8"/>
  <c r="AF159" i="8"/>
  <c r="AE160" i="8"/>
  <c r="AF160" i="8"/>
  <c r="AE161" i="8"/>
  <c r="AF161" i="8"/>
  <c r="AE162" i="8"/>
  <c r="AF162" i="8"/>
  <c r="AE163" i="8"/>
  <c r="AF163" i="8"/>
  <c r="AE164" i="8"/>
  <c r="AF164" i="8"/>
  <c r="AE165" i="8"/>
  <c r="AF165" i="8"/>
  <c r="AE166" i="8"/>
  <c r="AF166" i="8"/>
  <c r="AE167" i="8"/>
  <c r="AF167" i="8"/>
  <c r="AE168" i="8"/>
  <c r="AF168" i="8"/>
  <c r="AE169" i="8"/>
  <c r="AF169" i="8"/>
  <c r="AE170" i="8"/>
  <c r="AF170" i="8"/>
  <c r="AE171" i="8"/>
  <c r="AF171" i="8"/>
  <c r="AE172" i="8"/>
  <c r="AF172" i="8"/>
  <c r="AE173" i="8"/>
  <c r="AF173" i="8"/>
  <c r="AE174" i="8"/>
  <c r="AF174" i="8"/>
  <c r="AE175" i="8"/>
  <c r="AF175" i="8"/>
  <c r="AE176" i="8"/>
  <c r="AF176" i="8"/>
  <c r="AE177" i="8"/>
  <c r="AF177" i="8"/>
  <c r="AE178" i="8"/>
  <c r="AF178" i="8"/>
  <c r="AE179" i="8"/>
  <c r="AF179" i="8"/>
  <c r="AE180" i="8"/>
  <c r="AF180" i="8"/>
  <c r="AE181" i="8"/>
  <c r="AF181" i="8"/>
  <c r="AE182" i="8"/>
  <c r="AF182" i="8"/>
  <c r="AE183" i="8"/>
  <c r="AF183" i="8"/>
  <c r="AE184" i="8"/>
  <c r="AF184" i="8"/>
  <c r="AE185" i="8"/>
  <c r="AF185" i="8"/>
  <c r="AE186" i="8"/>
  <c r="AF186" i="8"/>
  <c r="AE187" i="8"/>
  <c r="AF187" i="8"/>
  <c r="AE188" i="8"/>
  <c r="AF188" i="8"/>
  <c r="AE189" i="8"/>
  <c r="AF189" i="8"/>
  <c r="AE190" i="8"/>
  <c r="AF190" i="8"/>
  <c r="AE191" i="8"/>
  <c r="AF191" i="8"/>
  <c r="AE192" i="8"/>
  <c r="AF192" i="8"/>
  <c r="AE193" i="8"/>
  <c r="AF193" i="8"/>
  <c r="AE194" i="8"/>
  <c r="AF194" i="8"/>
  <c r="AE195" i="8"/>
  <c r="AF195" i="8"/>
  <c r="AE196" i="8"/>
  <c r="AF196" i="8"/>
  <c r="AE197" i="8"/>
  <c r="AF197" i="8"/>
  <c r="AE198" i="8"/>
  <c r="AF198" i="8"/>
  <c r="AE199" i="8"/>
  <c r="AF199" i="8"/>
  <c r="AE200" i="8"/>
  <c r="AF200" i="8"/>
  <c r="AE201" i="8"/>
  <c r="AF201" i="8"/>
  <c r="AE202" i="8"/>
  <c r="AF202" i="8"/>
  <c r="AE203" i="8"/>
  <c r="AF203" i="8"/>
  <c r="AE204" i="8"/>
  <c r="AF204" i="8"/>
  <c r="AE205" i="8"/>
  <c r="AF205" i="8"/>
  <c r="AE206" i="8"/>
  <c r="AF206" i="8"/>
  <c r="AE207" i="8"/>
  <c r="AF207" i="8"/>
  <c r="AE208" i="8"/>
  <c r="AF208" i="8"/>
  <c r="AE209" i="8"/>
  <c r="AF209" i="8"/>
  <c r="AE210" i="8"/>
  <c r="AF210" i="8"/>
  <c r="AE211" i="8"/>
  <c r="AF211" i="8"/>
  <c r="AE212" i="8"/>
  <c r="AF212" i="8"/>
  <c r="AE213" i="8"/>
  <c r="AF213" i="8"/>
  <c r="AE214" i="8"/>
  <c r="AF214" i="8"/>
  <c r="AE215" i="8"/>
  <c r="AF215" i="8"/>
  <c r="AE216" i="8"/>
  <c r="AF216" i="8"/>
  <c r="AE217" i="8"/>
  <c r="AF217" i="8"/>
  <c r="AE218" i="8"/>
  <c r="AF218" i="8"/>
  <c r="AE219" i="8"/>
  <c r="AF219" i="8"/>
  <c r="AE220" i="8"/>
  <c r="AF220" i="8"/>
  <c r="AE221" i="8"/>
  <c r="AF221" i="8"/>
  <c r="AE222" i="8"/>
  <c r="AF222" i="8"/>
  <c r="AE223" i="8"/>
  <c r="AF223" i="8"/>
  <c r="AE224" i="8"/>
  <c r="AF224" i="8"/>
  <c r="AE225" i="8"/>
  <c r="AF225" i="8"/>
  <c r="AE226" i="8"/>
  <c r="AF226" i="8"/>
  <c r="AE227" i="8"/>
  <c r="AF227" i="8"/>
  <c r="AE228" i="8"/>
  <c r="AF228" i="8"/>
  <c r="AE229" i="8"/>
  <c r="AF229" i="8"/>
  <c r="AE230" i="8"/>
  <c r="AF230" i="8"/>
  <c r="AE231" i="8"/>
  <c r="AF231" i="8"/>
  <c r="AE232" i="8"/>
  <c r="AF232" i="8"/>
  <c r="AE233" i="8"/>
  <c r="AF233" i="8"/>
  <c r="AE234" i="8"/>
  <c r="AF234" i="8"/>
  <c r="AE235" i="8"/>
  <c r="AF235" i="8"/>
  <c r="AE236" i="8"/>
  <c r="AF236" i="8"/>
  <c r="AE237" i="8"/>
  <c r="AF237" i="8"/>
  <c r="AE238" i="8"/>
  <c r="AF238" i="8"/>
  <c r="AE239" i="8"/>
  <c r="AF239" i="8"/>
  <c r="AE240" i="8"/>
  <c r="AF240" i="8"/>
  <c r="AE241" i="8"/>
  <c r="AF241" i="8"/>
  <c r="AE242" i="8"/>
  <c r="AF242" i="8"/>
  <c r="AE243" i="8"/>
  <c r="AF243" i="8"/>
  <c r="AE244" i="8"/>
  <c r="AF244" i="8"/>
  <c r="AE245" i="8"/>
  <c r="AF245" i="8"/>
  <c r="AE246" i="8"/>
  <c r="AF246" i="8"/>
  <c r="AE247" i="8"/>
  <c r="AF247" i="8"/>
  <c r="AE248" i="8"/>
  <c r="AF248" i="8"/>
  <c r="AE249" i="8"/>
  <c r="AF249" i="8"/>
  <c r="AE250" i="8"/>
  <c r="AF250" i="8"/>
  <c r="AE251" i="8"/>
  <c r="AF251" i="8"/>
  <c r="AE252" i="8"/>
  <c r="AF252" i="8"/>
  <c r="AE253" i="8"/>
  <c r="AF253" i="8"/>
  <c r="AE254" i="8"/>
  <c r="AF254" i="8"/>
  <c r="AE255" i="8"/>
  <c r="AF255" i="8"/>
  <c r="AE256" i="8"/>
  <c r="AF256" i="8"/>
  <c r="AE257" i="8"/>
  <c r="AF257" i="8"/>
  <c r="AE258" i="8"/>
  <c r="AF258" i="8"/>
  <c r="AE259" i="8"/>
  <c r="AF259" i="8"/>
  <c r="AE260" i="8"/>
  <c r="AF260" i="8"/>
  <c r="AE261" i="8"/>
  <c r="AF261" i="8"/>
  <c r="AE262" i="8"/>
  <c r="AF262" i="8"/>
  <c r="AE263" i="8"/>
  <c r="AF263" i="8"/>
  <c r="AE264" i="8"/>
  <c r="AF264" i="8"/>
  <c r="AE265" i="8"/>
  <c r="AF265" i="8"/>
  <c r="AE266" i="8"/>
  <c r="AF266" i="8"/>
  <c r="AE267" i="8"/>
  <c r="AF267" i="8"/>
  <c r="AE268" i="8"/>
  <c r="AF268" i="8"/>
  <c r="AE269" i="8"/>
  <c r="AF269" i="8"/>
  <c r="AE270" i="8"/>
  <c r="AF270" i="8"/>
  <c r="AE271" i="8"/>
  <c r="AF271" i="8"/>
  <c r="AE272" i="8"/>
  <c r="AF272" i="8"/>
  <c r="AE273" i="8"/>
  <c r="AF273" i="8"/>
  <c r="AE274" i="8"/>
  <c r="AF274" i="8"/>
  <c r="AE275" i="8"/>
  <c r="AF275" i="8"/>
  <c r="AE276" i="8"/>
  <c r="AF276" i="8"/>
  <c r="AE277" i="8"/>
  <c r="AF277" i="8"/>
  <c r="AE278" i="8"/>
  <c r="AF278" i="8"/>
  <c r="AE279" i="8"/>
  <c r="AF279" i="8"/>
  <c r="AE280" i="8"/>
  <c r="AF280" i="8"/>
  <c r="AE281" i="8"/>
  <c r="AF281" i="8"/>
  <c r="AE282" i="8"/>
  <c r="AF282" i="8"/>
  <c r="AE283" i="8"/>
  <c r="AF283" i="8"/>
  <c r="AE284" i="8"/>
  <c r="AF284" i="8"/>
  <c r="AE285" i="8"/>
  <c r="AF285" i="8"/>
  <c r="AE286" i="8"/>
  <c r="AF286" i="8"/>
  <c r="AE287" i="8"/>
  <c r="AF287" i="8"/>
  <c r="AE288" i="8"/>
  <c r="AF288" i="8"/>
  <c r="AE289" i="8"/>
  <c r="AF289" i="8"/>
  <c r="AE290" i="8"/>
  <c r="AF290" i="8"/>
  <c r="AE291" i="8"/>
  <c r="AF291" i="8"/>
  <c r="AE292" i="8"/>
  <c r="AF292" i="8"/>
  <c r="AE293" i="8"/>
  <c r="AF293" i="8"/>
  <c r="AE294" i="8"/>
  <c r="AF294" i="8"/>
  <c r="AE295" i="8"/>
  <c r="AF295" i="8"/>
  <c r="AE296" i="8"/>
  <c r="AF296" i="8"/>
  <c r="AE297" i="8"/>
  <c r="AF297" i="8"/>
  <c r="AE298" i="8"/>
  <c r="AF298" i="8"/>
  <c r="AE299" i="8"/>
  <c r="AF299" i="8"/>
  <c r="AE300" i="8"/>
  <c r="AF300" i="8"/>
  <c r="AE301" i="8"/>
  <c r="AF301" i="8"/>
  <c r="AE302" i="8"/>
  <c r="AF302" i="8"/>
  <c r="AE303" i="8"/>
  <c r="AF303" i="8"/>
  <c r="AE304" i="8"/>
  <c r="AF304" i="8"/>
  <c r="AE305" i="8"/>
  <c r="AF305" i="8"/>
  <c r="AE306" i="8"/>
  <c r="AF306" i="8"/>
  <c r="AE307" i="8"/>
  <c r="AF307" i="8"/>
  <c r="AE308" i="8"/>
  <c r="AF308" i="8"/>
  <c r="AE309" i="8"/>
  <c r="AF309" i="8"/>
  <c r="AE310" i="8"/>
  <c r="AF310" i="8"/>
  <c r="AE311" i="8"/>
  <c r="AF311" i="8"/>
  <c r="AE312" i="8"/>
  <c r="AF312" i="8"/>
  <c r="AE313" i="8"/>
  <c r="AF313" i="8"/>
  <c r="AE314" i="8"/>
  <c r="AF314" i="8"/>
  <c r="AE315" i="8"/>
  <c r="AF315" i="8"/>
  <c r="AE316" i="8"/>
  <c r="AF316" i="8"/>
  <c r="AE317" i="8"/>
  <c r="AF317" i="8"/>
  <c r="AE318" i="8"/>
  <c r="AF318" i="8"/>
  <c r="AE319" i="8"/>
  <c r="AF319" i="8"/>
  <c r="AE320" i="8"/>
  <c r="AF320" i="8"/>
  <c r="AE321" i="8"/>
  <c r="AF321" i="8"/>
  <c r="AE322" i="8"/>
  <c r="AF322" i="8"/>
  <c r="AE323" i="8"/>
  <c r="AF323" i="8"/>
  <c r="AE324" i="8"/>
  <c r="AF324" i="8"/>
  <c r="AE325" i="8"/>
  <c r="AF325" i="8"/>
  <c r="AE326" i="8"/>
  <c r="AF326" i="8"/>
  <c r="AE327" i="8"/>
  <c r="AF327" i="8"/>
  <c r="AE328" i="8"/>
  <c r="AF328" i="8"/>
  <c r="AE329" i="8"/>
  <c r="AF329" i="8"/>
  <c r="AE330" i="8"/>
  <c r="AF330" i="8"/>
  <c r="AE331" i="8"/>
  <c r="AF331" i="8"/>
  <c r="AE332" i="8"/>
  <c r="AF332" i="8"/>
  <c r="AE333" i="8"/>
  <c r="AF333" i="8"/>
  <c r="AE334" i="8"/>
  <c r="AF334" i="8"/>
  <c r="AE335" i="8"/>
  <c r="AF335" i="8"/>
  <c r="AE336" i="8"/>
  <c r="AF336" i="8"/>
  <c r="AE337" i="8"/>
  <c r="AF337" i="8"/>
  <c r="AE338" i="8"/>
  <c r="AF338" i="8"/>
  <c r="AE339" i="8"/>
  <c r="AF339" i="8"/>
  <c r="AE340" i="8"/>
  <c r="AF340" i="8"/>
  <c r="AE341" i="8"/>
  <c r="AF341" i="8"/>
  <c r="AE342" i="8"/>
  <c r="AF342" i="8"/>
  <c r="AE343" i="8"/>
  <c r="AF343" i="8"/>
  <c r="AE344" i="8"/>
  <c r="AF344" i="8"/>
  <c r="AE345" i="8"/>
  <c r="AF345" i="8"/>
  <c r="AE346" i="8"/>
  <c r="AF346" i="8"/>
  <c r="AE347" i="8"/>
  <c r="AF347" i="8"/>
  <c r="AE348" i="8"/>
  <c r="AF348" i="8"/>
  <c r="AE349" i="8"/>
  <c r="AF349" i="8"/>
  <c r="AE350" i="8"/>
  <c r="AF350" i="8"/>
  <c r="AE351" i="8"/>
  <c r="AF351" i="8"/>
  <c r="AE352" i="8"/>
  <c r="AF352" i="8"/>
  <c r="AE353" i="8"/>
  <c r="AF353" i="8"/>
  <c r="AE354" i="8"/>
  <c r="AF354" i="8"/>
  <c r="AE355" i="8"/>
  <c r="AF355" i="8"/>
  <c r="AE356" i="8"/>
  <c r="AF356" i="8"/>
  <c r="AE357" i="8"/>
  <c r="AF357" i="8"/>
  <c r="AE358" i="8"/>
  <c r="AF358" i="8"/>
  <c r="AE359" i="8"/>
  <c r="AF359" i="8"/>
  <c r="AE360" i="8"/>
  <c r="AF360" i="8"/>
  <c r="AE361" i="8"/>
  <c r="AF361" i="8"/>
  <c r="AE362" i="8"/>
  <c r="AF362" i="8"/>
  <c r="AE363" i="8"/>
  <c r="AF363" i="8"/>
  <c r="AE364" i="8"/>
  <c r="AF364" i="8"/>
  <c r="AE365" i="8"/>
  <c r="AF365" i="8"/>
  <c r="AE366" i="8"/>
  <c r="AF366" i="8"/>
  <c r="AE367" i="8"/>
  <c r="AF367" i="8"/>
  <c r="AE368" i="8"/>
  <c r="AF368" i="8"/>
  <c r="AE369" i="8"/>
  <c r="AF369" i="8"/>
  <c r="AE370" i="8"/>
  <c r="AF370" i="8"/>
  <c r="AE371" i="8"/>
  <c r="AF371" i="8"/>
  <c r="AE372" i="8"/>
  <c r="AF372" i="8"/>
  <c r="AE373" i="8"/>
  <c r="AF373" i="8"/>
  <c r="AE374" i="8"/>
  <c r="AF374" i="8"/>
  <c r="AE375" i="8"/>
  <c r="AF375" i="8"/>
  <c r="AE376" i="8"/>
  <c r="AF376" i="8"/>
  <c r="AE377" i="8"/>
  <c r="AF377" i="8"/>
  <c r="AE378" i="8"/>
  <c r="AF378" i="8"/>
  <c r="AE379" i="8"/>
  <c r="AF379" i="8"/>
  <c r="AE380" i="8"/>
  <c r="AF380" i="8"/>
  <c r="AE381" i="8"/>
  <c r="AF381" i="8"/>
  <c r="AE382" i="8"/>
  <c r="AF382" i="8"/>
  <c r="AE383" i="8"/>
  <c r="AF383" i="8"/>
  <c r="AE384" i="8"/>
  <c r="AF384" i="8"/>
  <c r="AE385" i="8"/>
  <c r="AF385" i="8"/>
  <c r="AE386" i="8"/>
  <c r="AF386" i="8"/>
  <c r="AE387" i="8"/>
  <c r="AF387" i="8"/>
  <c r="AE388" i="8"/>
  <c r="AF388" i="8"/>
  <c r="AE389" i="8"/>
  <c r="AF389" i="8"/>
  <c r="AE390" i="8"/>
  <c r="AF390" i="8"/>
  <c r="AE391" i="8"/>
  <c r="AF391" i="8"/>
  <c r="AE392" i="8"/>
  <c r="AF392" i="8"/>
  <c r="AE393" i="8"/>
  <c r="AF393" i="8"/>
  <c r="AE394" i="8"/>
  <c r="AF394" i="8"/>
  <c r="AE395" i="8"/>
  <c r="AF395" i="8"/>
  <c r="AE396" i="8"/>
  <c r="AF396" i="8"/>
  <c r="AE397" i="8"/>
  <c r="AF397" i="8"/>
  <c r="AE398" i="8"/>
  <c r="AF398" i="8"/>
  <c r="AE399" i="8"/>
  <c r="AF399" i="8"/>
  <c r="AE400" i="8"/>
  <c r="AF400" i="8"/>
  <c r="AE401" i="8"/>
  <c r="AF401" i="8"/>
  <c r="AE402" i="8"/>
  <c r="AF402" i="8"/>
  <c r="AE403" i="8"/>
  <c r="AF403" i="8"/>
  <c r="AE404" i="8"/>
  <c r="AF404" i="8"/>
  <c r="AE405" i="8"/>
  <c r="AF405" i="8"/>
  <c r="AE406" i="8"/>
  <c r="AF406" i="8"/>
  <c r="AE407" i="8"/>
  <c r="AF407" i="8"/>
  <c r="AE408" i="8"/>
  <c r="AF408" i="8"/>
  <c r="AE409" i="8"/>
  <c r="AF409" i="8"/>
  <c r="AE410" i="8"/>
  <c r="AF410" i="8"/>
  <c r="AE411" i="8"/>
  <c r="AF411" i="8"/>
  <c r="AE412" i="8"/>
  <c r="AF412" i="8"/>
  <c r="AE413" i="8"/>
  <c r="AF413" i="8"/>
  <c r="AE414" i="8"/>
  <c r="AF414" i="8"/>
  <c r="AE415" i="8"/>
  <c r="AF415" i="8"/>
  <c r="AE416" i="8"/>
  <c r="AF416" i="8"/>
  <c r="AE417" i="8"/>
  <c r="AF417" i="8"/>
  <c r="AE418" i="8"/>
  <c r="AF418" i="8"/>
  <c r="AE419" i="8"/>
  <c r="AF419" i="8"/>
  <c r="AE420" i="8"/>
  <c r="AF420" i="8"/>
  <c r="AE421" i="8"/>
  <c r="AF421" i="8"/>
  <c r="AE422" i="8"/>
  <c r="AF422" i="8"/>
  <c r="AE423" i="8"/>
  <c r="AF423" i="8"/>
  <c r="AE424" i="8"/>
  <c r="AF424" i="8"/>
  <c r="AE425" i="8"/>
  <c r="AF425" i="8"/>
  <c r="AE426" i="8"/>
  <c r="AF426" i="8"/>
  <c r="AE427" i="8"/>
  <c r="AF427" i="8"/>
  <c r="AE428" i="8"/>
  <c r="AF428" i="8"/>
  <c r="AE429" i="8"/>
  <c r="AF429" i="8"/>
  <c r="AE430" i="8"/>
  <c r="AF430" i="8"/>
  <c r="AE431" i="8"/>
  <c r="AF431" i="8"/>
  <c r="AE432" i="8"/>
  <c r="AF432" i="8"/>
  <c r="AE433" i="8"/>
  <c r="AF433" i="8"/>
  <c r="AE434" i="8"/>
  <c r="AF434" i="8"/>
  <c r="AE435" i="8"/>
  <c r="AF435" i="8"/>
  <c r="AE436" i="8"/>
  <c r="AF436" i="8"/>
  <c r="AE437" i="8"/>
  <c r="AF437" i="8"/>
  <c r="AE438" i="8"/>
  <c r="AF438" i="8"/>
  <c r="AE439" i="8"/>
  <c r="AF439" i="8"/>
  <c r="AE440" i="8"/>
  <c r="AF440" i="8"/>
  <c r="AE441" i="8"/>
  <c r="AF441" i="8"/>
  <c r="AE442" i="8"/>
  <c r="AF442" i="8"/>
  <c r="AE443" i="8"/>
  <c r="AF443" i="8"/>
  <c r="AE444" i="8"/>
  <c r="AF444" i="8"/>
  <c r="AE445" i="8"/>
  <c r="AF445" i="8"/>
  <c r="AE446" i="8"/>
  <c r="AF446" i="8"/>
  <c r="AE447" i="8"/>
  <c r="AF447" i="8"/>
  <c r="AE448" i="8"/>
  <c r="AF448" i="8"/>
  <c r="AE449" i="8"/>
  <c r="AF449" i="8"/>
  <c r="AE450" i="8"/>
  <c r="AF450" i="8"/>
  <c r="AE451" i="8"/>
  <c r="AF451" i="8"/>
  <c r="AE452" i="8"/>
  <c r="AF452" i="8"/>
  <c r="AE453" i="8"/>
  <c r="AF453" i="8"/>
  <c r="AE454" i="8"/>
  <c r="AF454" i="8"/>
  <c r="AE455" i="8"/>
  <c r="AF455" i="8"/>
  <c r="AE456" i="8"/>
  <c r="AF456" i="8"/>
  <c r="AE457" i="8"/>
  <c r="AF457" i="8"/>
  <c r="AE458" i="8"/>
  <c r="AF458" i="8"/>
  <c r="AE459" i="8"/>
  <c r="AF459" i="8"/>
  <c r="AE460" i="8"/>
  <c r="AF460" i="8"/>
  <c r="AE461" i="8"/>
  <c r="AF461" i="8"/>
  <c r="AE462" i="8"/>
  <c r="AF462" i="8"/>
  <c r="AE463" i="8"/>
  <c r="AF463" i="8"/>
  <c r="AE464" i="8"/>
  <c r="AF464" i="8"/>
  <c r="AE465" i="8"/>
  <c r="AF465" i="8"/>
  <c r="AE466" i="8"/>
  <c r="AF466" i="8"/>
  <c r="AE467" i="8"/>
  <c r="AF467" i="8"/>
  <c r="AE468" i="8"/>
  <c r="AF468" i="8"/>
  <c r="AE469" i="8"/>
  <c r="AF469" i="8"/>
  <c r="AE470" i="8"/>
  <c r="AF470" i="8"/>
  <c r="AE471" i="8"/>
  <c r="AF471" i="8"/>
  <c r="AE472" i="8"/>
  <c r="AF472" i="8"/>
  <c r="AE473" i="8"/>
  <c r="AF473" i="8"/>
  <c r="AE474" i="8"/>
  <c r="AF474" i="8"/>
  <c r="AE475" i="8"/>
  <c r="AF475" i="8"/>
  <c r="AE476" i="8"/>
  <c r="AF476" i="8"/>
  <c r="AE477" i="8"/>
  <c r="AF477" i="8"/>
  <c r="AE478" i="8"/>
  <c r="AF478" i="8"/>
  <c r="AE479" i="8"/>
  <c r="AF479" i="8"/>
  <c r="AE480" i="8"/>
  <c r="AF480" i="8"/>
  <c r="AE481" i="8"/>
  <c r="AF481" i="8"/>
  <c r="AE482" i="8"/>
  <c r="AF482" i="8"/>
  <c r="AE483" i="8"/>
  <c r="AF483" i="8"/>
  <c r="AE484" i="8"/>
  <c r="AF484" i="8"/>
  <c r="AE485" i="8"/>
  <c r="AF485" i="8"/>
  <c r="AE486" i="8"/>
  <c r="AF486" i="8"/>
  <c r="AE487" i="8"/>
  <c r="AF487" i="8"/>
  <c r="AE488" i="8"/>
  <c r="AF488" i="8"/>
  <c r="AE489" i="8"/>
  <c r="AF489" i="8"/>
  <c r="AE490" i="8"/>
  <c r="AF490" i="8"/>
  <c r="AE491" i="8"/>
  <c r="AF491" i="8"/>
  <c r="AE492" i="8"/>
  <c r="AF492" i="8"/>
  <c r="AE493" i="8"/>
  <c r="AF493" i="8"/>
  <c r="AE494" i="8"/>
  <c r="AF494" i="8"/>
  <c r="AE495" i="8"/>
  <c r="AF495" i="8"/>
  <c r="AE496" i="8"/>
  <c r="AF496" i="8"/>
  <c r="AE497" i="8"/>
  <c r="AF497" i="8"/>
  <c r="AE498" i="8"/>
  <c r="AF498" i="8"/>
  <c r="AE499" i="8"/>
  <c r="AF499" i="8"/>
  <c r="AE500" i="8"/>
  <c r="AF500" i="8"/>
  <c r="AE501" i="8"/>
  <c r="AF501" i="8"/>
  <c r="AE502" i="8"/>
  <c r="AF502" i="8"/>
  <c r="AE503" i="8"/>
  <c r="AF503" i="8"/>
  <c r="AE504" i="8"/>
  <c r="AF504" i="8"/>
  <c r="AE505" i="8"/>
  <c r="AF505" i="8"/>
  <c r="AF10" i="8"/>
  <c r="AE10" i="8"/>
  <c r="S25" i="7"/>
  <c r="S26" i="7" s="1"/>
  <c r="S27" i="7" s="1"/>
  <c r="S28" i="7" s="1"/>
  <c r="S29" i="7" s="1"/>
  <c r="S30" i="7" s="1"/>
  <c r="S31" i="7" s="1"/>
  <c r="S32" i="7" s="1"/>
  <c r="S33" i="7" s="1"/>
  <c r="S34" i="7" s="1"/>
  <c r="S35" i="7" s="1"/>
  <c r="S36" i="7" s="1"/>
  <c r="S37" i="7" s="1"/>
  <c r="S38" i="7" s="1"/>
  <c r="S39" i="7" s="1"/>
  <c r="S40" i="7" s="1"/>
  <c r="S41" i="7" s="1"/>
  <c r="S42" i="7" s="1"/>
  <c r="S43" i="7" s="1"/>
  <c r="S44" i="7" s="1"/>
  <c r="S45" i="7" s="1"/>
  <c r="S46" i="7" s="1"/>
  <c r="S47" i="7" s="1"/>
  <c r="S48" i="7" s="1"/>
  <c r="S49" i="7" s="1"/>
  <c r="S50" i="7" s="1"/>
  <c r="S51" i="7" s="1"/>
  <c r="S52" i="7" s="1"/>
  <c r="S53" i="7" s="1"/>
  <c r="S54" i="7" s="1"/>
  <c r="S55" i="7" s="1"/>
  <c r="S56" i="7" s="1"/>
  <c r="S57" i="7" s="1"/>
  <c r="S58" i="7" s="1"/>
  <c r="S59" i="7" s="1"/>
  <c r="S60" i="7" s="1"/>
  <c r="S61" i="7" s="1"/>
  <c r="S62" i="7" s="1"/>
  <c r="S63" i="7" s="1"/>
  <c r="S64" i="7" s="1"/>
  <c r="S65" i="7" s="1"/>
  <c r="S66" i="7" s="1"/>
  <c r="S67" i="7" s="1"/>
  <c r="S68" i="7" s="1"/>
  <c r="S69" i="7" s="1"/>
  <c r="S70" i="7" s="1"/>
  <c r="S71" i="7" s="1"/>
  <c r="S72" i="7" s="1"/>
  <c r="S73" i="7" s="1"/>
  <c r="S74" i="7" s="1"/>
  <c r="S75" i="7" s="1"/>
  <c r="S76" i="7" s="1"/>
  <c r="S77" i="7" s="1"/>
  <c r="S78" i="7" s="1"/>
  <c r="S79" i="7" s="1"/>
  <c r="S80" i="7" s="1"/>
  <c r="S81" i="7" s="1"/>
  <c r="S82" i="7" s="1"/>
  <c r="S83" i="7" s="1"/>
  <c r="S84" i="7" s="1"/>
  <c r="S85" i="7" s="1"/>
  <c r="S86" i="7" s="1"/>
  <c r="S87" i="7" s="1"/>
  <c r="S88" i="7" s="1"/>
  <c r="S89" i="7" s="1"/>
  <c r="S90" i="7" s="1"/>
  <c r="S91" i="7" s="1"/>
  <c r="S92" i="7" s="1"/>
  <c r="S93" i="7" s="1"/>
  <c r="S94" i="7" s="1"/>
  <c r="S95" i="7" s="1"/>
  <c r="S96" i="7" s="1"/>
  <c r="S97" i="7" s="1"/>
  <c r="S98" i="7" s="1"/>
  <c r="S99" i="7" s="1"/>
  <c r="S100" i="7" s="1"/>
  <c r="S101" i="7" s="1"/>
  <c r="S102" i="7" s="1"/>
  <c r="S103" i="7" s="1"/>
  <c r="S104" i="7" s="1"/>
  <c r="S105" i="7" s="1"/>
  <c r="S106" i="7" s="1"/>
  <c r="S107" i="7" s="1"/>
  <c r="S108" i="7" s="1"/>
  <c r="S109" i="7" s="1"/>
  <c r="S110" i="7" s="1"/>
  <c r="S111" i="7" s="1"/>
  <c r="S112" i="7" s="1"/>
  <c r="S113" i="7" s="1"/>
  <c r="S114" i="7" s="1"/>
  <c r="S115" i="7" s="1"/>
  <c r="S116" i="7" s="1"/>
  <c r="S117" i="7" s="1"/>
  <c r="S118" i="7" s="1"/>
  <c r="S119" i="7" s="1"/>
  <c r="S120" i="7" s="1"/>
  <c r="S121" i="7" s="1"/>
  <c r="S122" i="7" s="1"/>
  <c r="S123" i="7" s="1"/>
  <c r="S124" i="7" s="1"/>
  <c r="S125" i="7" s="1"/>
  <c r="S126" i="7" s="1"/>
  <c r="S127" i="7" s="1"/>
  <c r="S128" i="7" s="1"/>
  <c r="S129" i="7" s="1"/>
  <c r="S130" i="7" s="1"/>
  <c r="S131" i="7" s="1"/>
  <c r="S132" i="7" s="1"/>
  <c r="S133" i="7" s="1"/>
  <c r="S134" i="7" s="1"/>
  <c r="S135" i="7" s="1"/>
  <c r="S136" i="7" s="1"/>
  <c r="S137" i="7" s="1"/>
  <c r="S138" i="7" s="1"/>
  <c r="S139" i="7" s="1"/>
  <c r="S140" i="7" s="1"/>
  <c r="S141" i="7" s="1"/>
  <c r="S142" i="7" s="1"/>
  <c r="S143" i="7" s="1"/>
  <c r="S144" i="7" s="1"/>
  <c r="S145" i="7" s="1"/>
  <c r="S146" i="7" s="1"/>
  <c r="S147" i="7" s="1"/>
  <c r="S148" i="7" s="1"/>
  <c r="S149" i="7" s="1"/>
  <c r="S150" i="7" s="1"/>
  <c r="S151" i="7" s="1"/>
  <c r="S152" i="7" s="1"/>
  <c r="S153" i="7" s="1"/>
  <c r="S154" i="7" s="1"/>
  <c r="S155" i="7" s="1"/>
  <c r="S156" i="7" s="1"/>
  <c r="S157" i="7" s="1"/>
  <c r="S158" i="7" s="1"/>
  <c r="S159" i="7" s="1"/>
  <c r="S160" i="7" s="1"/>
  <c r="S161" i="7" s="1"/>
  <c r="S162" i="7" s="1"/>
  <c r="S163" i="7" s="1"/>
  <c r="S164" i="7" s="1"/>
  <c r="S165" i="7" s="1"/>
  <c r="S166" i="7" s="1"/>
  <c r="S167" i="7" s="1"/>
  <c r="S168" i="7" s="1"/>
  <c r="S169" i="7" s="1"/>
  <c r="S170" i="7" s="1"/>
  <c r="S171" i="7" s="1"/>
  <c r="S172" i="7" s="1"/>
  <c r="S173" i="7" s="1"/>
  <c r="S174" i="7" s="1"/>
  <c r="S175" i="7" s="1"/>
  <c r="S176" i="7" s="1"/>
  <c r="S177" i="7" s="1"/>
  <c r="S178" i="7" s="1"/>
  <c r="S179" i="7" s="1"/>
  <c r="S180" i="7" s="1"/>
  <c r="S181" i="7" s="1"/>
  <c r="S182" i="7" s="1"/>
  <c r="S183" i="7" s="1"/>
  <c r="S184" i="7" s="1"/>
  <c r="S185" i="7" s="1"/>
  <c r="S186" i="7" s="1"/>
  <c r="S187" i="7" s="1"/>
  <c r="S188" i="7" s="1"/>
  <c r="S189" i="7" s="1"/>
  <c r="S190" i="7" s="1"/>
  <c r="S191" i="7" s="1"/>
  <c r="S192" i="7" s="1"/>
  <c r="S193" i="7" s="1"/>
  <c r="S194" i="7" s="1"/>
  <c r="S195" i="7" s="1"/>
  <c r="S196" i="7" s="1"/>
  <c r="S197" i="7" s="1"/>
  <c r="S198" i="7" s="1"/>
  <c r="S199" i="7" s="1"/>
  <c r="S200" i="7" s="1"/>
  <c r="S201" i="7" s="1"/>
  <c r="S202" i="7" s="1"/>
  <c r="S203" i="7" s="1"/>
  <c r="S204" i="7" s="1"/>
  <c r="S205" i="7" s="1"/>
  <c r="S206" i="7" s="1"/>
  <c r="S207" i="7" s="1"/>
  <c r="S208" i="7" s="1"/>
  <c r="S209" i="7" s="1"/>
  <c r="S210" i="7" s="1"/>
  <c r="S211" i="7" s="1"/>
  <c r="S212" i="7" s="1"/>
  <c r="S213" i="7" s="1"/>
  <c r="S214" i="7" s="1"/>
  <c r="S215" i="7" s="1"/>
  <c r="S216" i="7" s="1"/>
  <c r="S217" i="7" s="1"/>
  <c r="S218" i="7" s="1"/>
  <c r="S219" i="7" s="1"/>
  <c r="S220" i="7" s="1"/>
  <c r="S221" i="7" s="1"/>
  <c r="S222" i="7" s="1"/>
  <c r="S223" i="7" s="1"/>
  <c r="S224" i="7" s="1"/>
  <c r="S225" i="7" s="1"/>
  <c r="S226" i="7" s="1"/>
  <c r="S227" i="7" s="1"/>
  <c r="S228" i="7" s="1"/>
  <c r="S229" i="7" s="1"/>
  <c r="S230" i="7" s="1"/>
  <c r="S231" i="7" s="1"/>
  <c r="S232" i="7" s="1"/>
  <c r="S233" i="7" s="1"/>
  <c r="S234" i="7" s="1"/>
  <c r="S235" i="7" s="1"/>
  <c r="S236" i="7" s="1"/>
  <c r="S237" i="7" s="1"/>
  <c r="S238" i="7" s="1"/>
  <c r="S239" i="7" s="1"/>
  <c r="S240" i="7" s="1"/>
  <c r="S241" i="7" s="1"/>
  <c r="S242" i="7" s="1"/>
  <c r="S243" i="7" s="1"/>
  <c r="S244" i="7" s="1"/>
  <c r="S245" i="7" s="1"/>
  <c r="S246" i="7" s="1"/>
  <c r="S247" i="7" s="1"/>
  <c r="S248" i="7" s="1"/>
  <c r="S249" i="7" s="1"/>
  <c r="S250" i="7" s="1"/>
  <c r="S251" i="7" s="1"/>
  <c r="S252" i="7" s="1"/>
  <c r="S253" i="7" s="1"/>
  <c r="S254" i="7" s="1"/>
  <c r="S255" i="7" s="1"/>
  <c r="S256" i="7" s="1"/>
  <c r="S257" i="7" s="1"/>
  <c r="S258" i="7" s="1"/>
  <c r="S259" i="7" s="1"/>
  <c r="S260" i="7" s="1"/>
  <c r="S261" i="7" s="1"/>
  <c r="S262" i="7" s="1"/>
  <c r="S263" i="7" s="1"/>
  <c r="S264" i="7" s="1"/>
  <c r="S265" i="7" s="1"/>
  <c r="S266" i="7" s="1"/>
  <c r="S267" i="7" s="1"/>
  <c r="S268" i="7" s="1"/>
  <c r="S269" i="7" s="1"/>
  <c r="S270" i="7" s="1"/>
  <c r="S271" i="7" s="1"/>
  <c r="S272" i="7" s="1"/>
  <c r="S273" i="7" s="1"/>
  <c r="S274" i="7" s="1"/>
  <c r="Q25" i="7"/>
  <c r="Q26" i="7" s="1"/>
  <c r="Q27" i="7" s="1"/>
  <c r="Q28" i="7" s="1"/>
  <c r="Q29" i="7" s="1"/>
  <c r="Q30" i="7" s="1"/>
  <c r="Q31" i="7" s="1"/>
  <c r="Q32" i="7" s="1"/>
  <c r="Q33" i="7" s="1"/>
  <c r="Q34" i="7" s="1"/>
  <c r="Q35" i="7" s="1"/>
  <c r="Q36" i="7" s="1"/>
  <c r="Q37" i="7" s="1"/>
  <c r="Q38" i="7" s="1"/>
  <c r="Q39" i="7" s="1"/>
  <c r="Q40" i="7" s="1"/>
  <c r="Q41" i="7" s="1"/>
  <c r="Q42" i="7" s="1"/>
  <c r="Q43" i="7" s="1"/>
  <c r="Q44" i="7" s="1"/>
  <c r="Q45" i="7" s="1"/>
  <c r="Q46" i="7" s="1"/>
  <c r="Q47" i="7" s="1"/>
  <c r="Q48" i="7" s="1"/>
  <c r="Q49" i="7" s="1"/>
  <c r="Q50" i="7" s="1"/>
  <c r="Q51" i="7" s="1"/>
  <c r="Q52" i="7" s="1"/>
  <c r="Q53" i="7" s="1"/>
  <c r="Q54" i="7" s="1"/>
  <c r="Q55" i="7" s="1"/>
  <c r="Q56" i="7" s="1"/>
  <c r="Q57" i="7" s="1"/>
  <c r="Q58" i="7" s="1"/>
  <c r="Q59" i="7" s="1"/>
  <c r="Q60" i="7" s="1"/>
  <c r="Q61" i="7" s="1"/>
  <c r="Q62" i="7" s="1"/>
  <c r="Q63" i="7" s="1"/>
  <c r="Q64" i="7" s="1"/>
  <c r="Q65" i="7" s="1"/>
  <c r="Q66" i="7" s="1"/>
  <c r="Q67" i="7" s="1"/>
  <c r="Q68" i="7" s="1"/>
  <c r="Q69" i="7" s="1"/>
  <c r="Q70" i="7" s="1"/>
  <c r="Q71" i="7" s="1"/>
  <c r="Q72" i="7" s="1"/>
  <c r="Q73" i="7" s="1"/>
  <c r="Q74" i="7" s="1"/>
  <c r="Q75" i="7" s="1"/>
  <c r="Q76" i="7" s="1"/>
  <c r="Q77" i="7" s="1"/>
  <c r="Q78" i="7" s="1"/>
  <c r="Q79" i="7" s="1"/>
  <c r="Q80" i="7" s="1"/>
  <c r="Q81" i="7" s="1"/>
  <c r="Q82" i="7" s="1"/>
  <c r="Q83" i="7" s="1"/>
  <c r="Q84" i="7" s="1"/>
  <c r="Q85" i="7" s="1"/>
  <c r="Q86" i="7" s="1"/>
  <c r="Q87" i="7" s="1"/>
  <c r="Q88" i="7" s="1"/>
  <c r="Q89" i="7" s="1"/>
  <c r="Q90" i="7" s="1"/>
  <c r="Q91" i="7" s="1"/>
  <c r="Q92" i="7" s="1"/>
  <c r="Q93" i="7" s="1"/>
  <c r="Q94" i="7" s="1"/>
  <c r="Q95" i="7" s="1"/>
  <c r="Q96" i="7" s="1"/>
  <c r="Q97" i="7" s="1"/>
  <c r="Q98" i="7" s="1"/>
  <c r="Q99" i="7" s="1"/>
  <c r="Q100" i="7" s="1"/>
  <c r="Q101" i="7" s="1"/>
  <c r="Q102" i="7" s="1"/>
  <c r="Q103" i="7" s="1"/>
  <c r="Q104" i="7" s="1"/>
  <c r="Q105" i="7" s="1"/>
  <c r="Q106" i="7" s="1"/>
  <c r="Q107" i="7" s="1"/>
  <c r="Q108" i="7" s="1"/>
  <c r="Q109" i="7" s="1"/>
  <c r="Q110" i="7" s="1"/>
  <c r="Q111" i="7" s="1"/>
  <c r="Q112" i="7" s="1"/>
  <c r="Q113" i="7" s="1"/>
  <c r="Q114" i="7" s="1"/>
  <c r="Q115" i="7" s="1"/>
  <c r="Q116" i="7" s="1"/>
  <c r="Q117" i="7" s="1"/>
  <c r="Q118" i="7" s="1"/>
  <c r="Q119" i="7" s="1"/>
  <c r="Q120" i="7" s="1"/>
  <c r="Q121" i="7" s="1"/>
  <c r="Q122" i="7" s="1"/>
  <c r="Q123" i="7" s="1"/>
  <c r="Q124" i="7" s="1"/>
  <c r="Q125" i="7" s="1"/>
  <c r="Q126" i="7" s="1"/>
  <c r="Q127" i="7" s="1"/>
  <c r="Q128" i="7" s="1"/>
  <c r="Q129" i="7" s="1"/>
  <c r="Q130" i="7" s="1"/>
  <c r="Q131" i="7" s="1"/>
  <c r="Q132" i="7" s="1"/>
  <c r="Q133" i="7" s="1"/>
  <c r="Q134" i="7" s="1"/>
  <c r="Q135" i="7" s="1"/>
  <c r="Q136" i="7" s="1"/>
  <c r="Q137" i="7" s="1"/>
  <c r="Q138" i="7" s="1"/>
  <c r="Q139" i="7" s="1"/>
  <c r="Q140" i="7" s="1"/>
  <c r="Q141" i="7" s="1"/>
  <c r="Q142" i="7" s="1"/>
  <c r="Q143" i="7" s="1"/>
  <c r="Q144" i="7" s="1"/>
  <c r="Q145" i="7" s="1"/>
  <c r="Q146" i="7" s="1"/>
  <c r="Q147" i="7" s="1"/>
  <c r="Q148" i="7" s="1"/>
  <c r="Q149" i="7" s="1"/>
  <c r="Q150" i="7" s="1"/>
  <c r="Q151" i="7" s="1"/>
  <c r="Q152" i="7" s="1"/>
  <c r="Q153" i="7" s="1"/>
  <c r="Q154" i="7" s="1"/>
  <c r="Q155" i="7" s="1"/>
  <c r="Q156" i="7" s="1"/>
  <c r="Q157" i="7" s="1"/>
  <c r="Q158" i="7" s="1"/>
  <c r="Q159" i="7" s="1"/>
  <c r="Q160" i="7" s="1"/>
  <c r="Q161" i="7" s="1"/>
  <c r="Q162" i="7" s="1"/>
  <c r="Q163" i="7" s="1"/>
  <c r="Q164" i="7" s="1"/>
  <c r="Q165" i="7" s="1"/>
  <c r="Q166" i="7" s="1"/>
  <c r="Q167" i="7" s="1"/>
  <c r="Q168" i="7" s="1"/>
  <c r="Q169" i="7" s="1"/>
  <c r="Q170" i="7" s="1"/>
  <c r="Q171" i="7" s="1"/>
  <c r="Q172" i="7" s="1"/>
  <c r="Q173" i="7" s="1"/>
  <c r="Q174" i="7" s="1"/>
  <c r="Q175" i="7" s="1"/>
  <c r="Q176" i="7" s="1"/>
  <c r="Q177" i="7" s="1"/>
  <c r="Q178" i="7" s="1"/>
  <c r="Q179" i="7" s="1"/>
  <c r="Q180" i="7" s="1"/>
  <c r="Q181" i="7" s="1"/>
  <c r="Q182" i="7" s="1"/>
  <c r="Q183" i="7" s="1"/>
  <c r="Q184" i="7" s="1"/>
  <c r="Q185" i="7" s="1"/>
  <c r="Q186" i="7" s="1"/>
  <c r="Q187" i="7" s="1"/>
  <c r="Q188" i="7" s="1"/>
  <c r="Q189" i="7" s="1"/>
  <c r="Q190" i="7" s="1"/>
  <c r="Q191" i="7" s="1"/>
  <c r="Q192" i="7" s="1"/>
  <c r="Q193" i="7" s="1"/>
  <c r="Q194" i="7" s="1"/>
  <c r="Q195" i="7" s="1"/>
  <c r="Q196" i="7" s="1"/>
  <c r="Q197" i="7" s="1"/>
  <c r="Q198" i="7" s="1"/>
  <c r="Q199" i="7" s="1"/>
  <c r="Q200" i="7" s="1"/>
  <c r="Q201" i="7" s="1"/>
  <c r="Q202" i="7" s="1"/>
  <c r="Q203" i="7" s="1"/>
  <c r="Q204" i="7" s="1"/>
  <c r="Q205" i="7" s="1"/>
  <c r="Q206" i="7" s="1"/>
  <c r="Q207" i="7" s="1"/>
  <c r="Q208" i="7" s="1"/>
  <c r="Q209" i="7" s="1"/>
  <c r="Q210" i="7" s="1"/>
  <c r="Q211" i="7" s="1"/>
  <c r="Q212" i="7" s="1"/>
  <c r="Q213" i="7" s="1"/>
  <c r="Q214" i="7" s="1"/>
  <c r="Q215" i="7" s="1"/>
  <c r="Q216" i="7" s="1"/>
  <c r="Q217" i="7" s="1"/>
  <c r="Q218" i="7" s="1"/>
  <c r="Q219" i="7" s="1"/>
  <c r="Q220" i="7" s="1"/>
  <c r="Q221" i="7" s="1"/>
  <c r="Q222" i="7" s="1"/>
  <c r="Q223" i="7" s="1"/>
  <c r="Q224" i="7" s="1"/>
  <c r="Q225" i="7" s="1"/>
  <c r="Q226" i="7" s="1"/>
  <c r="Q227" i="7" s="1"/>
  <c r="Q228" i="7" s="1"/>
  <c r="Q229" i="7" s="1"/>
  <c r="Q230" i="7" s="1"/>
  <c r="Q231" i="7" s="1"/>
  <c r="Q232" i="7" s="1"/>
  <c r="Q233" i="7" s="1"/>
  <c r="Q234" i="7" s="1"/>
  <c r="Q235" i="7" s="1"/>
  <c r="Q236" i="7" s="1"/>
  <c r="Q237" i="7" s="1"/>
  <c r="Q238" i="7" s="1"/>
  <c r="Q239" i="7" s="1"/>
  <c r="Q240" i="7" s="1"/>
  <c r="Q241" i="7" s="1"/>
  <c r="Q242" i="7" s="1"/>
  <c r="Q243" i="7" s="1"/>
  <c r="Q244" i="7" s="1"/>
  <c r="Q245" i="7" s="1"/>
  <c r="Q246" i="7" s="1"/>
  <c r="Q247" i="7" s="1"/>
  <c r="Q248" i="7" s="1"/>
  <c r="Q249" i="7" s="1"/>
  <c r="Q250" i="7" s="1"/>
  <c r="Q251" i="7" s="1"/>
  <c r="Q252" i="7" s="1"/>
  <c r="Q253" i="7" s="1"/>
  <c r="Q254" i="7" s="1"/>
  <c r="Q255" i="7" s="1"/>
  <c r="Q256" i="7" s="1"/>
  <c r="Q257" i="7" s="1"/>
  <c r="Q258" i="7" s="1"/>
  <c r="Q259" i="7" s="1"/>
  <c r="Q260" i="7" s="1"/>
  <c r="Q261" i="7" s="1"/>
  <c r="Q262" i="7" s="1"/>
  <c r="Q263" i="7" s="1"/>
  <c r="Q264" i="7" s="1"/>
  <c r="Q265" i="7" s="1"/>
  <c r="Q266" i="7" s="1"/>
  <c r="Q267" i="7" s="1"/>
  <c r="Q268" i="7" s="1"/>
  <c r="Q269" i="7" s="1"/>
  <c r="Q270" i="7" s="1"/>
  <c r="Q271" i="7" s="1"/>
  <c r="Q272" i="7" s="1"/>
  <c r="Q273" i="7" s="1"/>
  <c r="Q274" i="7" s="1"/>
  <c r="M10" i="7"/>
  <c r="U11" i="7"/>
  <c r="U12" i="7" s="1"/>
  <c r="U13" i="7" s="1"/>
  <c r="U14" i="7" s="1"/>
  <c r="U15" i="7" s="1"/>
  <c r="U16" i="7" s="1"/>
  <c r="U17" i="7" s="1"/>
  <c r="U18" i="7" s="1"/>
  <c r="U19" i="7" s="1"/>
  <c r="U20" i="7" s="1"/>
  <c r="U21" i="7" s="1"/>
  <c r="U22" i="7" s="1"/>
  <c r="U23" i="7" s="1"/>
  <c r="U25" i="7" s="1"/>
  <c r="U26" i="7" s="1"/>
  <c r="U27" i="7" s="1"/>
  <c r="U28" i="7" s="1"/>
  <c r="U29" i="7" s="1"/>
  <c r="U30" i="7" s="1"/>
  <c r="U31" i="7" s="1"/>
  <c r="U32" i="7" s="1"/>
  <c r="U33" i="7" s="1"/>
  <c r="U34" i="7" s="1"/>
  <c r="U35" i="7" s="1"/>
  <c r="U36" i="7" s="1"/>
  <c r="U37" i="7" s="1"/>
  <c r="U38" i="7" s="1"/>
  <c r="U39" i="7" s="1"/>
  <c r="U40" i="7" s="1"/>
  <c r="U41" i="7" s="1"/>
  <c r="U42" i="7" s="1"/>
  <c r="U43" i="7" s="1"/>
  <c r="U44" i="7" s="1"/>
  <c r="U45" i="7" s="1"/>
  <c r="U46" i="7" s="1"/>
  <c r="U47" i="7" s="1"/>
  <c r="U48" i="7" s="1"/>
  <c r="U49" i="7" s="1"/>
  <c r="U50" i="7" s="1"/>
  <c r="U51" i="7" s="1"/>
  <c r="U52" i="7" s="1"/>
  <c r="U53" i="7" s="1"/>
  <c r="U54" i="7" s="1"/>
  <c r="U55" i="7" s="1"/>
  <c r="U56" i="7" s="1"/>
  <c r="U57" i="7" s="1"/>
  <c r="U58" i="7" s="1"/>
  <c r="U59" i="7" s="1"/>
  <c r="U60" i="7" s="1"/>
  <c r="U61" i="7" s="1"/>
  <c r="U62" i="7" s="1"/>
  <c r="U63" i="7" s="1"/>
  <c r="U64" i="7" s="1"/>
  <c r="U65" i="7" s="1"/>
  <c r="U66" i="7" s="1"/>
  <c r="U67" i="7" s="1"/>
  <c r="U68" i="7" s="1"/>
  <c r="U69" i="7" s="1"/>
  <c r="U70" i="7" s="1"/>
  <c r="U71" i="7" s="1"/>
  <c r="U72" i="7" s="1"/>
  <c r="U73" i="7" s="1"/>
  <c r="U74" i="7" s="1"/>
  <c r="U75" i="7" s="1"/>
  <c r="U76" i="7" s="1"/>
  <c r="U77" i="7" s="1"/>
  <c r="U78" i="7" s="1"/>
  <c r="U79" i="7" s="1"/>
  <c r="U80" i="7" s="1"/>
  <c r="U81" i="7" s="1"/>
  <c r="U82" i="7" s="1"/>
  <c r="U83" i="7" s="1"/>
  <c r="U84" i="7" s="1"/>
  <c r="U85" i="7" s="1"/>
  <c r="U86" i="7" s="1"/>
  <c r="U87" i="7" s="1"/>
  <c r="U88" i="7" s="1"/>
  <c r="U89" i="7" s="1"/>
  <c r="U90" i="7" s="1"/>
  <c r="U91" i="7" s="1"/>
  <c r="U92" i="7" s="1"/>
  <c r="U93" i="7" s="1"/>
  <c r="U94" i="7" s="1"/>
  <c r="U95" i="7" s="1"/>
  <c r="U96" i="7" s="1"/>
  <c r="U97" i="7" s="1"/>
  <c r="U98" i="7" s="1"/>
  <c r="U99" i="7" s="1"/>
  <c r="U100" i="7" s="1"/>
  <c r="U101" i="7" s="1"/>
  <c r="U102" i="7" s="1"/>
  <c r="U103" i="7" s="1"/>
  <c r="U104" i="7" s="1"/>
  <c r="U105" i="7" s="1"/>
  <c r="U106" i="7" s="1"/>
  <c r="U107" i="7" s="1"/>
  <c r="U108" i="7" s="1"/>
  <c r="U109" i="7" s="1"/>
  <c r="U110" i="7" s="1"/>
  <c r="U111" i="7" s="1"/>
  <c r="U112" i="7" s="1"/>
  <c r="U113" i="7" s="1"/>
  <c r="U114" i="7" s="1"/>
  <c r="U115" i="7" s="1"/>
  <c r="U116" i="7" s="1"/>
  <c r="U117" i="7" s="1"/>
  <c r="U118" i="7" s="1"/>
  <c r="U119" i="7" s="1"/>
  <c r="U120" i="7" s="1"/>
  <c r="U121" i="7" s="1"/>
  <c r="U122" i="7" s="1"/>
  <c r="U123" i="7" s="1"/>
  <c r="U124" i="7" s="1"/>
  <c r="U125" i="7" s="1"/>
  <c r="U126" i="7" s="1"/>
  <c r="U127" i="7" s="1"/>
  <c r="U128" i="7" s="1"/>
  <c r="U129" i="7" s="1"/>
  <c r="U130" i="7" s="1"/>
  <c r="U131" i="7" s="1"/>
  <c r="U132" i="7" s="1"/>
  <c r="U133" i="7" s="1"/>
  <c r="U134" i="7" s="1"/>
  <c r="U135" i="7" s="1"/>
  <c r="U136" i="7" s="1"/>
  <c r="U137" i="7" s="1"/>
  <c r="U138" i="7" s="1"/>
  <c r="U139" i="7" s="1"/>
  <c r="U140" i="7" s="1"/>
  <c r="U141" i="7" s="1"/>
  <c r="U142" i="7" s="1"/>
  <c r="U143" i="7" s="1"/>
  <c r="U144" i="7" s="1"/>
  <c r="U145" i="7" s="1"/>
  <c r="U146" i="7" s="1"/>
  <c r="U147" i="7" s="1"/>
  <c r="U148" i="7" s="1"/>
  <c r="U149" i="7" s="1"/>
  <c r="U150" i="7" s="1"/>
  <c r="U151" i="7" s="1"/>
  <c r="U152" i="7" s="1"/>
  <c r="U153" i="7" s="1"/>
  <c r="U154" i="7" s="1"/>
  <c r="U155" i="7" s="1"/>
  <c r="U156" i="7" s="1"/>
  <c r="U157" i="7" s="1"/>
  <c r="U158" i="7" s="1"/>
  <c r="U159" i="7" s="1"/>
  <c r="U160" i="7" s="1"/>
  <c r="U161" i="7" s="1"/>
  <c r="U162" i="7" s="1"/>
  <c r="U163" i="7" s="1"/>
  <c r="U164" i="7" s="1"/>
  <c r="U165" i="7" s="1"/>
  <c r="U166" i="7" s="1"/>
  <c r="U167" i="7" s="1"/>
  <c r="U168" i="7" s="1"/>
  <c r="U169" i="7" s="1"/>
  <c r="U170" i="7" s="1"/>
  <c r="U171" i="7" s="1"/>
  <c r="U172" i="7" s="1"/>
  <c r="U173" i="7" s="1"/>
  <c r="U174" i="7" s="1"/>
  <c r="U175" i="7" s="1"/>
  <c r="U176" i="7" s="1"/>
  <c r="U177" i="7" s="1"/>
  <c r="U178" i="7" s="1"/>
  <c r="U179" i="7" s="1"/>
  <c r="U180" i="7" s="1"/>
  <c r="U181" i="7" s="1"/>
  <c r="U182" i="7" s="1"/>
  <c r="U183" i="7" s="1"/>
  <c r="U184" i="7" s="1"/>
  <c r="U185" i="7" s="1"/>
  <c r="U186" i="7" s="1"/>
  <c r="U187" i="7" s="1"/>
  <c r="U188" i="7" s="1"/>
  <c r="U189" i="7" s="1"/>
  <c r="U190" i="7" s="1"/>
  <c r="U191" i="7" s="1"/>
  <c r="U192" i="7" s="1"/>
  <c r="U193" i="7" s="1"/>
  <c r="U194" i="7" s="1"/>
  <c r="U195" i="7" s="1"/>
  <c r="U196" i="7" s="1"/>
  <c r="U197" i="7" s="1"/>
  <c r="U198" i="7" s="1"/>
  <c r="U199" i="7" s="1"/>
  <c r="U200" i="7" s="1"/>
  <c r="U201" i="7" s="1"/>
  <c r="U202" i="7" s="1"/>
  <c r="U203" i="7" s="1"/>
  <c r="U204" i="7" s="1"/>
  <c r="U205" i="7" s="1"/>
  <c r="U206" i="7" s="1"/>
  <c r="U207" i="7" s="1"/>
  <c r="U208" i="7" s="1"/>
  <c r="U209" i="7" s="1"/>
  <c r="U210" i="7" s="1"/>
  <c r="U211" i="7" s="1"/>
  <c r="U212" i="7" s="1"/>
  <c r="U213" i="7" s="1"/>
  <c r="U214" i="7" s="1"/>
  <c r="U215" i="7" s="1"/>
  <c r="U216" i="7" s="1"/>
  <c r="U217" i="7" s="1"/>
  <c r="U218" i="7" s="1"/>
  <c r="U219" i="7" s="1"/>
  <c r="U220" i="7" s="1"/>
  <c r="U221" i="7" s="1"/>
  <c r="U222" i="7" s="1"/>
  <c r="U223" i="7" s="1"/>
  <c r="U224" i="7" s="1"/>
  <c r="U225" i="7" s="1"/>
  <c r="U226" i="7" s="1"/>
  <c r="U227" i="7" s="1"/>
  <c r="U228" i="7" s="1"/>
  <c r="U229" i="7" s="1"/>
  <c r="U230" i="7" s="1"/>
  <c r="U231" i="7" s="1"/>
  <c r="U232" i="7" s="1"/>
  <c r="U233" i="7" s="1"/>
  <c r="U234" i="7" s="1"/>
  <c r="U235" i="7" s="1"/>
  <c r="U236" i="7" s="1"/>
  <c r="U237" i="7" s="1"/>
  <c r="U238" i="7" s="1"/>
  <c r="U239" i="7" s="1"/>
  <c r="U240" i="7" s="1"/>
  <c r="U241" i="7" s="1"/>
  <c r="U242" i="7" s="1"/>
  <c r="U243" i="7" s="1"/>
  <c r="U244" i="7" s="1"/>
  <c r="U245" i="7" s="1"/>
  <c r="U246" i="7" s="1"/>
  <c r="U247" i="7" s="1"/>
  <c r="U248" i="7" s="1"/>
  <c r="U249" i="7" s="1"/>
  <c r="U250" i="7" s="1"/>
  <c r="U251" i="7" s="1"/>
  <c r="U252" i="7" s="1"/>
  <c r="U253" i="7" s="1"/>
  <c r="U254" i="7" s="1"/>
  <c r="U255" i="7" s="1"/>
  <c r="U256" i="7" s="1"/>
  <c r="U257" i="7" s="1"/>
  <c r="U258" i="7" s="1"/>
  <c r="U259" i="7" s="1"/>
  <c r="U260" i="7" s="1"/>
  <c r="U261" i="7" s="1"/>
  <c r="U262" i="7" s="1"/>
  <c r="U263" i="7" s="1"/>
  <c r="U264" i="7" s="1"/>
  <c r="U265" i="7" s="1"/>
  <c r="U266" i="7" s="1"/>
  <c r="U267" i="7" s="1"/>
  <c r="U268" i="7" s="1"/>
  <c r="U269" i="7" s="1"/>
  <c r="U270" i="7" s="1"/>
  <c r="U271" i="7" s="1"/>
  <c r="U272" i="7" s="1"/>
  <c r="U273" i="7" s="1"/>
  <c r="U274" i="7" s="1"/>
  <c r="N11" i="7"/>
  <c r="N12" i="7" s="1"/>
  <c r="N13" i="7" s="1"/>
  <c r="N14" i="7" s="1"/>
  <c r="N15" i="7" s="1"/>
  <c r="N16" i="7" s="1"/>
  <c r="N17" i="7" s="1"/>
  <c r="N18" i="7" s="1"/>
  <c r="N19" i="7" s="1"/>
  <c r="N20" i="7" s="1"/>
  <c r="N21" i="7" s="1"/>
  <c r="N22" i="7" s="1"/>
  <c r="N23" i="7" s="1"/>
  <c r="N24" i="7" s="1"/>
  <c r="F31" i="7"/>
  <c r="F30" i="7"/>
  <c r="F29" i="7"/>
  <c r="F28" i="7"/>
  <c r="F27" i="7"/>
  <c r="F26" i="7"/>
  <c r="F25" i="7"/>
  <c r="F23" i="7"/>
  <c r="F22" i="7"/>
  <c r="F21" i="7"/>
  <c r="F20" i="7"/>
  <c r="F19" i="7"/>
  <c r="F18" i="7"/>
  <c r="F17" i="7"/>
  <c r="F16" i="7"/>
  <c r="F15" i="7"/>
  <c r="F14" i="7"/>
  <c r="F13" i="7"/>
  <c r="F12" i="7"/>
  <c r="F11" i="7"/>
  <c r="F10" i="7"/>
  <c r="AA10" i="7" l="1"/>
  <c r="AA11" i="7" s="1"/>
  <c r="AA12" i="7" s="1"/>
  <c r="AA13" i="7" s="1"/>
  <c r="AA14" i="7" s="1"/>
  <c r="AA15" i="7" s="1"/>
  <c r="AA16" i="7" s="1"/>
  <c r="AA17" i="7" s="1"/>
  <c r="AA18" i="7" s="1"/>
  <c r="AA19" i="7" s="1"/>
  <c r="AA20" i="7" s="1"/>
  <c r="AA21" i="7" s="1"/>
  <c r="AA22" i="7" s="1"/>
  <c r="AA23" i="7" s="1"/>
  <c r="P14" i="7"/>
  <c r="N25" i="7"/>
  <c r="M25" i="7" s="1"/>
  <c r="Z25" i="7" s="1"/>
  <c r="M19" i="7"/>
  <c r="M15" i="7"/>
  <c r="M11" i="7"/>
  <c r="M23" i="7"/>
  <c r="M21" i="7"/>
  <c r="M17" i="7"/>
  <c r="M13" i="7"/>
  <c r="M24" i="7"/>
  <c r="M20" i="7"/>
  <c r="M16" i="7"/>
  <c r="M12" i="7"/>
  <c r="M22" i="7"/>
  <c r="M18" i="7"/>
  <c r="M14" i="7"/>
  <c r="F32" i="7"/>
  <c r="AA24" i="7" l="1"/>
  <c r="T25" i="7"/>
  <c r="R25" i="7"/>
  <c r="P15" i="7"/>
  <c r="F35" i="7"/>
  <c r="O25" i="7"/>
  <c r="N26" i="7"/>
  <c r="V25" i="7"/>
  <c r="Y25" i="7"/>
  <c r="W25" i="7" l="1"/>
  <c r="AA25" i="7"/>
  <c r="X25" i="7"/>
  <c r="V26" i="7"/>
  <c r="P16" i="7"/>
  <c r="O26" i="7"/>
  <c r="Y26" i="7"/>
  <c r="N27" i="7"/>
  <c r="R26" i="7"/>
  <c r="M26" i="7"/>
  <c r="Z26" i="7" s="1"/>
  <c r="T26" i="7"/>
  <c r="AA26" i="7" l="1"/>
  <c r="W26" i="7"/>
  <c r="X26" i="7"/>
  <c r="T27" i="7"/>
  <c r="O27" i="7"/>
  <c r="R27" i="7"/>
  <c r="P17" i="7"/>
  <c r="Y27" i="7"/>
  <c r="N28" i="7"/>
  <c r="M27" i="7"/>
  <c r="Z27" i="7" s="1"/>
  <c r="V27" i="7"/>
  <c r="AA27" i="7" l="1"/>
  <c r="W27" i="7"/>
  <c r="X27" i="7"/>
  <c r="R28" i="7"/>
  <c r="V28" i="7"/>
  <c r="O28" i="7"/>
  <c r="Y28" i="7"/>
  <c r="N29" i="7"/>
  <c r="M28" i="7"/>
  <c r="Z28" i="7" s="1"/>
  <c r="T28" i="7"/>
  <c r="AA28" i="7" l="1"/>
  <c r="W28" i="7"/>
  <c r="X28" i="7"/>
  <c r="V29" i="7"/>
  <c r="T29" i="7"/>
  <c r="O29" i="7"/>
  <c r="R29" i="7"/>
  <c r="N30" i="7"/>
  <c r="M29" i="7"/>
  <c r="Z29" i="7" s="1"/>
  <c r="Y29" i="7"/>
  <c r="AA29" i="7" l="1"/>
  <c r="W29" i="7"/>
  <c r="X29" i="7"/>
  <c r="O30" i="7"/>
  <c r="R30" i="7"/>
  <c r="Y30" i="7"/>
  <c r="N31" i="7"/>
  <c r="M30" i="7"/>
  <c r="Z30" i="7" s="1"/>
  <c r="T30" i="7"/>
  <c r="V30" i="7"/>
  <c r="AA30" i="7" l="1"/>
  <c r="W30" i="7"/>
  <c r="O31" i="7"/>
  <c r="X30" i="7"/>
  <c r="N32" i="7"/>
  <c r="M31" i="7"/>
  <c r="Z31" i="7" s="1"/>
  <c r="V31" i="7"/>
  <c r="T31" i="7"/>
  <c r="R31" i="7"/>
  <c r="Y31" i="7"/>
  <c r="O32" i="7" l="1"/>
  <c r="W31" i="7"/>
  <c r="X31" i="7"/>
  <c r="AA31" i="7"/>
  <c r="R32" i="7"/>
  <c r="T32" i="7"/>
  <c r="V32" i="7"/>
  <c r="Y32" i="7"/>
  <c r="N33" i="7"/>
  <c r="M32" i="7"/>
  <c r="Z32" i="7" s="1"/>
  <c r="W32" i="7" l="1"/>
  <c r="X32" i="7"/>
  <c r="AA32" i="7"/>
  <c r="R33" i="7"/>
  <c r="N34" i="7"/>
  <c r="M33" i="7"/>
  <c r="Z33" i="7" s="1"/>
  <c r="O33" i="7"/>
  <c r="V33" i="7"/>
  <c r="Y33" i="7"/>
  <c r="T33" i="7"/>
  <c r="AA33" i="7" l="1"/>
  <c r="X33" i="7"/>
  <c r="T34" i="7"/>
  <c r="O34" i="7"/>
  <c r="N35" i="7"/>
  <c r="M34" i="7"/>
  <c r="P34" i="7" s="1"/>
  <c r="P35" i="7" s="1"/>
  <c r="P36" i="7" s="1"/>
  <c r="P37" i="7" s="1"/>
  <c r="P38" i="7" s="1"/>
  <c r="P39" i="7" s="1"/>
  <c r="P40" i="7" s="1"/>
  <c r="P41" i="7" s="1"/>
  <c r="P42" i="7" s="1"/>
  <c r="P43" i="7" s="1"/>
  <c r="P44" i="7" s="1"/>
  <c r="P45" i="7" s="1"/>
  <c r="Y34" i="7"/>
  <c r="V34" i="7"/>
  <c r="R34" i="7"/>
  <c r="Z34" i="7" l="1"/>
  <c r="X34" i="7" s="1"/>
  <c r="AA34" i="7"/>
  <c r="W33" i="7"/>
  <c r="O35" i="7"/>
  <c r="V35" i="7"/>
  <c r="R35" i="7"/>
  <c r="N36" i="7"/>
  <c r="M35" i="7"/>
  <c r="Y35" i="7"/>
  <c r="T35" i="7"/>
  <c r="Z35" i="7" l="1"/>
  <c r="AA35" i="7"/>
  <c r="W34" i="7"/>
  <c r="O36" i="7"/>
  <c r="X35" i="7"/>
  <c r="V36" i="7"/>
  <c r="R36" i="7"/>
  <c r="T36" i="7"/>
  <c r="N37" i="7"/>
  <c r="M36" i="7"/>
  <c r="Y36" i="7"/>
  <c r="Z36" i="7" l="1"/>
  <c r="X36" i="7" s="1"/>
  <c r="AA36" i="7"/>
  <c r="W35" i="7"/>
  <c r="O37" i="7"/>
  <c r="Y37" i="7"/>
  <c r="T37" i="7"/>
  <c r="N38" i="7"/>
  <c r="M37" i="7"/>
  <c r="V37" i="7"/>
  <c r="R37" i="7"/>
  <c r="Z37" i="7" l="1"/>
  <c r="W36" i="7"/>
  <c r="O38" i="7"/>
  <c r="AA37" i="7"/>
  <c r="X37" i="7"/>
  <c r="R38" i="7"/>
  <c r="T38" i="7"/>
  <c r="Y38" i="7"/>
  <c r="N39" i="7"/>
  <c r="M38" i="7"/>
  <c r="V38" i="7"/>
  <c r="Z38" i="7" l="1"/>
  <c r="Z39" i="7" s="1"/>
  <c r="O39" i="7"/>
  <c r="W37" i="7"/>
  <c r="AA38" i="7"/>
  <c r="V39" i="7"/>
  <c r="N40" i="7"/>
  <c r="M39" i="7"/>
  <c r="Y39" i="7"/>
  <c r="R39" i="7"/>
  <c r="T39" i="7"/>
  <c r="X38" i="7" l="1"/>
  <c r="O40" i="7"/>
  <c r="W38" i="7"/>
  <c r="AA39" i="7"/>
  <c r="Y40" i="7"/>
  <c r="X39" i="7"/>
  <c r="T40" i="7"/>
  <c r="R40" i="7"/>
  <c r="N41" i="7"/>
  <c r="M40" i="7"/>
  <c r="Z40" i="7" s="1"/>
  <c r="V40" i="7"/>
  <c r="W39" i="7" l="1"/>
  <c r="AA40" i="7"/>
  <c r="X40" i="7"/>
  <c r="N42" i="7"/>
  <c r="M41" i="7"/>
  <c r="Z41" i="7" s="1"/>
  <c r="V41" i="7"/>
  <c r="R41" i="7"/>
  <c r="O41" i="7"/>
  <c r="Y41" i="7"/>
  <c r="T41" i="7"/>
  <c r="W40" i="7" l="1"/>
  <c r="AA41" i="7"/>
  <c r="Y42" i="7"/>
  <c r="X41" i="7"/>
  <c r="O42" i="7"/>
  <c r="T42" i="7"/>
  <c r="R42" i="7"/>
  <c r="V42" i="7"/>
  <c r="N43" i="7"/>
  <c r="M42" i="7"/>
  <c r="Z42" i="7" s="1"/>
  <c r="W41" i="7" l="1"/>
  <c r="AA42" i="7"/>
  <c r="T43" i="7"/>
  <c r="X42" i="7"/>
  <c r="O43" i="7"/>
  <c r="Y43" i="7"/>
  <c r="V43" i="7"/>
  <c r="N44" i="7"/>
  <c r="M43" i="7"/>
  <c r="Z43" i="7" s="1"/>
  <c r="R43" i="7"/>
  <c r="W42" i="7" l="1"/>
  <c r="AA43" i="7"/>
  <c r="O44" i="7"/>
  <c r="X43" i="7"/>
  <c r="V44" i="7"/>
  <c r="R44" i="7"/>
  <c r="Y44" i="7"/>
  <c r="N45" i="7"/>
  <c r="M44" i="7"/>
  <c r="Z44" i="7" s="1"/>
  <c r="T44" i="7"/>
  <c r="W43" i="7" l="1"/>
  <c r="AA44" i="7"/>
  <c r="O45" i="7"/>
  <c r="X44" i="7"/>
  <c r="R45" i="7"/>
  <c r="T45" i="7"/>
  <c r="Y45" i="7"/>
  <c r="N46" i="7"/>
  <c r="M45" i="7"/>
  <c r="Z45" i="7" s="1"/>
  <c r="V45" i="7"/>
  <c r="W44" i="7" l="1"/>
  <c r="R46" i="7"/>
  <c r="AA45" i="7"/>
  <c r="X45" i="7"/>
  <c r="V46" i="7"/>
  <c r="O46" i="7"/>
  <c r="Y46" i="7"/>
  <c r="N47" i="7"/>
  <c r="M46" i="7"/>
  <c r="P46" i="7" s="1"/>
  <c r="P47" i="7" s="1"/>
  <c r="P48" i="7" s="1"/>
  <c r="P49" i="7" s="1"/>
  <c r="P50" i="7" s="1"/>
  <c r="P51" i="7" s="1"/>
  <c r="P52" i="7" s="1"/>
  <c r="P53" i="7" s="1"/>
  <c r="P54" i="7" s="1"/>
  <c r="P55" i="7" s="1"/>
  <c r="P56" i="7" s="1"/>
  <c r="P57" i="7" s="1"/>
  <c r="T46" i="7"/>
  <c r="Z46" i="7" l="1"/>
  <c r="X46" i="7" s="1"/>
  <c r="W45" i="7"/>
  <c r="AA46" i="7"/>
  <c r="T47" i="7"/>
  <c r="O47" i="7"/>
  <c r="Y47" i="7"/>
  <c r="V47" i="7"/>
  <c r="N48" i="7"/>
  <c r="M47" i="7"/>
  <c r="R47" i="7"/>
  <c r="Z47" i="7" l="1"/>
  <c r="X47" i="7" s="1"/>
  <c r="W46" i="7"/>
  <c r="AA47" i="7"/>
  <c r="R48" i="7"/>
  <c r="O48" i="7"/>
  <c r="N49" i="7"/>
  <c r="M48" i="7"/>
  <c r="V48" i="7"/>
  <c r="Y48" i="7"/>
  <c r="T48" i="7"/>
  <c r="T49" i="7" s="1"/>
  <c r="Z48" i="7" l="1"/>
  <c r="X48" i="7" s="1"/>
  <c r="W47" i="7"/>
  <c r="AA48" i="7"/>
  <c r="O49" i="7"/>
  <c r="Y49" i="7"/>
  <c r="R49" i="7"/>
  <c r="V49" i="7"/>
  <c r="N50" i="7"/>
  <c r="M49" i="7"/>
  <c r="Z49" i="7" l="1"/>
  <c r="W48" i="7"/>
  <c r="AA49" i="7"/>
  <c r="X49" i="7"/>
  <c r="N51" i="7"/>
  <c r="M50" i="7"/>
  <c r="R50" i="7"/>
  <c r="V50" i="7"/>
  <c r="O50" i="7"/>
  <c r="T50" i="7"/>
  <c r="Y50" i="7"/>
  <c r="Z50" i="7" l="1"/>
  <c r="X50" i="7" s="1"/>
  <c r="W49" i="7"/>
  <c r="AA50" i="7"/>
  <c r="T51" i="7"/>
  <c r="O51" i="7"/>
  <c r="Y51" i="7"/>
  <c r="R51" i="7"/>
  <c r="V51" i="7"/>
  <c r="N52" i="7"/>
  <c r="M51" i="7"/>
  <c r="Z51" i="7" l="1"/>
  <c r="X51" i="7" s="1"/>
  <c r="W50" i="7"/>
  <c r="AA51" i="7"/>
  <c r="R52" i="7"/>
  <c r="O52" i="7"/>
  <c r="T52" i="7"/>
  <c r="N53" i="7"/>
  <c r="M52" i="7"/>
  <c r="V52" i="7"/>
  <c r="Y52" i="7"/>
  <c r="Z52" i="7" l="1"/>
  <c r="X52" i="7" s="1"/>
  <c r="W51" i="7"/>
  <c r="AA52" i="7"/>
  <c r="O53" i="7"/>
  <c r="Y53" i="7"/>
  <c r="N54" i="7"/>
  <c r="M53" i="7"/>
  <c r="V53" i="7"/>
  <c r="T53" i="7"/>
  <c r="R53" i="7"/>
  <c r="Z53" i="7" l="1"/>
  <c r="W52" i="7"/>
  <c r="AA53" i="7"/>
  <c r="O54" i="7"/>
  <c r="X53" i="7"/>
  <c r="T54" i="7"/>
  <c r="Y54" i="7"/>
  <c r="V54" i="7"/>
  <c r="R54" i="7"/>
  <c r="N55" i="7"/>
  <c r="M54" i="7"/>
  <c r="Z54" i="7" l="1"/>
  <c r="W53" i="7"/>
  <c r="O55" i="7"/>
  <c r="AA54" i="7"/>
  <c r="X54" i="7"/>
  <c r="V55" i="7"/>
  <c r="N56" i="7"/>
  <c r="M55" i="7"/>
  <c r="T55" i="7"/>
  <c r="R55" i="7"/>
  <c r="Y55" i="7"/>
  <c r="Z55" i="7" l="1"/>
  <c r="X55" i="7" s="1"/>
  <c r="W54" i="7"/>
  <c r="AA55" i="7"/>
  <c r="R56" i="7"/>
  <c r="V56" i="7"/>
  <c r="O56" i="7"/>
  <c r="Y56" i="7"/>
  <c r="T56" i="7"/>
  <c r="N57" i="7"/>
  <c r="M56" i="7"/>
  <c r="Z56" i="7" l="1"/>
  <c r="X56" i="7" s="1"/>
  <c r="W55" i="7"/>
  <c r="AA56" i="7"/>
  <c r="O57" i="7"/>
  <c r="N58" i="7"/>
  <c r="M57" i="7"/>
  <c r="T57" i="7"/>
  <c r="R57" i="7"/>
  <c r="Y57" i="7"/>
  <c r="V57" i="7"/>
  <c r="V58" i="7" s="1"/>
  <c r="Z57" i="7" l="1"/>
  <c r="W56" i="7"/>
  <c r="AA57" i="7"/>
  <c r="X57" i="7"/>
  <c r="O58" i="7"/>
  <c r="R58" i="7"/>
  <c r="Y58" i="7"/>
  <c r="T58" i="7"/>
  <c r="N59" i="7"/>
  <c r="M58" i="7"/>
  <c r="P58" i="7" s="1"/>
  <c r="P59" i="7" s="1"/>
  <c r="P60" i="7" s="1"/>
  <c r="P61" i="7" s="1"/>
  <c r="P62" i="7" s="1"/>
  <c r="P63" i="7" s="1"/>
  <c r="P64" i="7" s="1"/>
  <c r="P65" i="7" s="1"/>
  <c r="P66" i="7" s="1"/>
  <c r="P67" i="7" s="1"/>
  <c r="P68" i="7" s="1"/>
  <c r="P69" i="7" s="1"/>
  <c r="Z58" i="7" l="1"/>
  <c r="W57" i="7"/>
  <c r="AA58" i="7"/>
  <c r="X58" i="7"/>
  <c r="N60" i="7"/>
  <c r="M59" i="7"/>
  <c r="R59" i="7"/>
  <c r="O59" i="7"/>
  <c r="T59" i="7"/>
  <c r="V59" i="7"/>
  <c r="Y59" i="7"/>
  <c r="Z59" i="7" l="1"/>
  <c r="W58" i="7"/>
  <c r="AA59" i="7"/>
  <c r="V60" i="7"/>
  <c r="X59" i="7"/>
  <c r="T60" i="7"/>
  <c r="Y60" i="7"/>
  <c r="R60" i="7"/>
  <c r="O60" i="7"/>
  <c r="N61" i="7"/>
  <c r="M60" i="7"/>
  <c r="Z60" i="7" l="1"/>
  <c r="X60" i="7" s="1"/>
  <c r="W59" i="7"/>
  <c r="AA60" i="7"/>
  <c r="N62" i="7"/>
  <c r="M61" i="7"/>
  <c r="R61" i="7"/>
  <c r="T61" i="7"/>
  <c r="Y61" i="7"/>
  <c r="O61" i="7"/>
  <c r="V61" i="7"/>
  <c r="Z61" i="7" l="1"/>
  <c r="W60" i="7"/>
  <c r="AA61" i="7"/>
  <c r="Y62" i="7"/>
  <c r="X61" i="7"/>
  <c r="O62" i="7"/>
  <c r="V62" i="7"/>
  <c r="R62" i="7"/>
  <c r="T62" i="7"/>
  <c r="N63" i="7"/>
  <c r="M62" i="7"/>
  <c r="Z62" i="7" l="1"/>
  <c r="AA62" i="7"/>
  <c r="W61" i="7"/>
  <c r="X62" i="7"/>
  <c r="N64" i="7"/>
  <c r="M63" i="7"/>
  <c r="Y63" i="7"/>
  <c r="T63" i="7"/>
  <c r="O63" i="7"/>
  <c r="V63" i="7"/>
  <c r="R63" i="7"/>
  <c r="Z63" i="7" l="1"/>
  <c r="V64" i="7"/>
  <c r="AA63" i="7"/>
  <c r="W62" i="7"/>
  <c r="R64" i="7"/>
  <c r="X63" i="7"/>
  <c r="Y64" i="7"/>
  <c r="O64" i="7"/>
  <c r="T64" i="7"/>
  <c r="N65" i="7"/>
  <c r="M64" i="7"/>
  <c r="Z64" i="7" l="1"/>
  <c r="AA64" i="7"/>
  <c r="W63" i="7"/>
  <c r="T65" i="7"/>
  <c r="X64" i="7"/>
  <c r="R65" i="7"/>
  <c r="N66" i="7"/>
  <c r="M65" i="7"/>
  <c r="Y65" i="7"/>
  <c r="O65" i="7"/>
  <c r="V65" i="7"/>
  <c r="Z65" i="7" l="1"/>
  <c r="AA65" i="7"/>
  <c r="W64" i="7"/>
  <c r="V66" i="7"/>
  <c r="X65" i="7"/>
  <c r="O66" i="7"/>
  <c r="N67" i="7"/>
  <c r="M66" i="7"/>
  <c r="R66" i="7"/>
  <c r="Y66" i="7"/>
  <c r="T66" i="7"/>
  <c r="Z66" i="7" l="1"/>
  <c r="X66" i="7" s="1"/>
  <c r="AA66" i="7"/>
  <c r="W65" i="7"/>
  <c r="T67" i="7"/>
  <c r="Y67" i="7"/>
  <c r="O67" i="7"/>
  <c r="N68" i="7"/>
  <c r="M67" i="7"/>
  <c r="R67" i="7"/>
  <c r="V67" i="7"/>
  <c r="Z67" i="7" l="1"/>
  <c r="AA67" i="7"/>
  <c r="W66" i="7"/>
  <c r="Y68" i="7"/>
  <c r="X67" i="7"/>
  <c r="O68" i="7"/>
  <c r="V68" i="7"/>
  <c r="R68" i="7"/>
  <c r="N69" i="7"/>
  <c r="M68" i="7"/>
  <c r="T68" i="7"/>
  <c r="Z68" i="7" l="1"/>
  <c r="X68" i="7" s="1"/>
  <c r="AA68" i="7"/>
  <c r="W67" i="7"/>
  <c r="V69" i="7"/>
  <c r="N70" i="7"/>
  <c r="M69" i="7"/>
  <c r="O69" i="7"/>
  <c r="T69" i="7"/>
  <c r="R69" i="7"/>
  <c r="Y69" i="7"/>
  <c r="Z69" i="7" l="1"/>
  <c r="X69" i="7" s="1"/>
  <c r="Y70" i="7"/>
  <c r="AA69" i="7"/>
  <c r="R70" i="7"/>
  <c r="W68" i="7"/>
  <c r="O70" i="7"/>
  <c r="N71" i="7"/>
  <c r="M70" i="7"/>
  <c r="P70" i="7" s="1"/>
  <c r="P71" i="7" s="1"/>
  <c r="P72" i="7" s="1"/>
  <c r="P73" i="7" s="1"/>
  <c r="P74" i="7" s="1"/>
  <c r="P75" i="7" s="1"/>
  <c r="P76" i="7" s="1"/>
  <c r="P77" i="7" s="1"/>
  <c r="P78" i="7" s="1"/>
  <c r="P79" i="7" s="1"/>
  <c r="P80" i="7" s="1"/>
  <c r="P81" i="7" s="1"/>
  <c r="T70" i="7"/>
  <c r="V70" i="7"/>
  <c r="Z70" i="7" l="1"/>
  <c r="R71" i="7"/>
  <c r="W69" i="7"/>
  <c r="AA70" i="7"/>
  <c r="X70" i="7"/>
  <c r="V71" i="7"/>
  <c r="O71" i="7"/>
  <c r="T71" i="7"/>
  <c r="N72" i="7"/>
  <c r="M71" i="7"/>
  <c r="Y71" i="7"/>
  <c r="Z71" i="7" l="1"/>
  <c r="W70" i="7"/>
  <c r="AA71" i="7"/>
  <c r="O72" i="7"/>
  <c r="X71" i="7"/>
  <c r="Y72" i="7"/>
  <c r="T72" i="7"/>
  <c r="N73" i="7"/>
  <c r="M72" i="7"/>
  <c r="V72" i="7"/>
  <c r="R72" i="7"/>
  <c r="Z72" i="7" l="1"/>
  <c r="W71" i="7"/>
  <c r="Y73" i="7"/>
  <c r="AA72" i="7"/>
  <c r="X72" i="7"/>
  <c r="R73" i="7"/>
  <c r="T73" i="7"/>
  <c r="O73" i="7"/>
  <c r="V73" i="7"/>
  <c r="N74" i="7"/>
  <c r="M73" i="7"/>
  <c r="Z73" i="7" l="1"/>
  <c r="W72" i="7"/>
  <c r="AA73" i="7"/>
  <c r="O74" i="7"/>
  <c r="T74" i="7"/>
  <c r="N75" i="7"/>
  <c r="M74" i="7"/>
  <c r="R74" i="7"/>
  <c r="V74" i="7"/>
  <c r="Y74" i="7"/>
  <c r="Z74" i="7" l="1"/>
  <c r="X73" i="7"/>
  <c r="W73" i="7"/>
  <c r="AA74" i="7"/>
  <c r="O75" i="7"/>
  <c r="Y75" i="7"/>
  <c r="V75" i="7"/>
  <c r="X74" i="7"/>
  <c r="R75" i="7"/>
  <c r="N76" i="7"/>
  <c r="M75" i="7"/>
  <c r="Z75" i="7" s="1"/>
  <c r="T75" i="7"/>
  <c r="W74" i="7" l="1"/>
  <c r="O76" i="7"/>
  <c r="AA75" i="7"/>
  <c r="X75" i="7"/>
  <c r="T76" i="7"/>
  <c r="N77" i="7"/>
  <c r="M76" i="7"/>
  <c r="Z76" i="7" s="1"/>
  <c r="Y76" i="7"/>
  <c r="V76" i="7"/>
  <c r="R76" i="7"/>
  <c r="O77" i="7" l="1"/>
  <c r="W75" i="7"/>
  <c r="AA76" i="7"/>
  <c r="R77" i="7"/>
  <c r="X76" i="7"/>
  <c r="V77" i="7"/>
  <c r="Y77" i="7"/>
  <c r="T77" i="7"/>
  <c r="N78" i="7"/>
  <c r="O78" i="7" s="1"/>
  <c r="M77" i="7"/>
  <c r="Z77" i="7" s="1"/>
  <c r="W76" i="7" l="1"/>
  <c r="AA77" i="7"/>
  <c r="X77" i="7"/>
  <c r="R78" i="7"/>
  <c r="Y78" i="7"/>
  <c r="N79" i="7"/>
  <c r="O79" i="7" s="1"/>
  <c r="M78" i="7"/>
  <c r="Z78" i="7" s="1"/>
  <c r="T78" i="7"/>
  <c r="V78" i="7"/>
  <c r="W77" i="7" l="1"/>
  <c r="X78" i="7"/>
  <c r="AA78" i="7"/>
  <c r="R79" i="7"/>
  <c r="V79" i="7"/>
  <c r="T79" i="7"/>
  <c r="N80" i="7"/>
  <c r="M79" i="7"/>
  <c r="Z79" i="7" s="1"/>
  <c r="Y79" i="7"/>
  <c r="W79" i="7" l="1"/>
  <c r="W78" i="7"/>
  <c r="AA79" i="7"/>
  <c r="T80" i="7"/>
  <c r="O80" i="7"/>
  <c r="Y80" i="7"/>
  <c r="N81" i="7"/>
  <c r="M80" i="7"/>
  <c r="Z80" i="7" s="1"/>
  <c r="V80" i="7"/>
  <c r="R80" i="7"/>
  <c r="W80" i="7" l="1"/>
  <c r="X79" i="7"/>
  <c r="AA80" i="7"/>
  <c r="N82" i="7"/>
  <c r="M81" i="7"/>
  <c r="Z81" i="7" s="1"/>
  <c r="O81" i="7"/>
  <c r="R81" i="7"/>
  <c r="Y81" i="7"/>
  <c r="V81" i="7"/>
  <c r="T81" i="7"/>
  <c r="V82" i="7" l="1"/>
  <c r="X80" i="7"/>
  <c r="AA81" i="7"/>
  <c r="X81" i="7"/>
  <c r="Y82" i="7"/>
  <c r="T82" i="7"/>
  <c r="R82" i="7"/>
  <c r="O82" i="7"/>
  <c r="N83" i="7"/>
  <c r="V83" i="7" s="1"/>
  <c r="M82" i="7"/>
  <c r="P82" i="7" s="1"/>
  <c r="P83" i="7" s="1"/>
  <c r="P84" i="7" s="1"/>
  <c r="P85" i="7" s="1"/>
  <c r="P86" i="7" s="1"/>
  <c r="P87" i="7" s="1"/>
  <c r="P88" i="7" s="1"/>
  <c r="P89" i="7" s="1"/>
  <c r="P90" i="7" s="1"/>
  <c r="P91" i="7" s="1"/>
  <c r="P92" i="7" s="1"/>
  <c r="P93" i="7" s="1"/>
  <c r="Z82" i="7" l="1"/>
  <c r="X82" i="7" s="1"/>
  <c r="W81" i="7"/>
  <c r="AA82" i="7"/>
  <c r="N84" i="7"/>
  <c r="M83" i="7"/>
  <c r="Y83" i="7"/>
  <c r="O83" i="7"/>
  <c r="T83" i="7"/>
  <c r="R83" i="7"/>
  <c r="Z83" i="7" l="1"/>
  <c r="X83" i="7" s="1"/>
  <c r="W82" i="7"/>
  <c r="AA83" i="7"/>
  <c r="R84" i="7"/>
  <c r="T84" i="7"/>
  <c r="O84" i="7"/>
  <c r="Y84" i="7"/>
  <c r="N85" i="7"/>
  <c r="M84" i="7"/>
  <c r="V84" i="7"/>
  <c r="Z84" i="7" l="1"/>
  <c r="W83" i="7"/>
  <c r="AA84" i="7"/>
  <c r="X84" i="7"/>
  <c r="V85" i="7"/>
  <c r="O85" i="7"/>
  <c r="N86" i="7"/>
  <c r="M85" i="7"/>
  <c r="T85" i="7"/>
  <c r="R85" i="7"/>
  <c r="Y85" i="7"/>
  <c r="Z85" i="7" l="1"/>
  <c r="W84" i="7"/>
  <c r="AA85" i="7"/>
  <c r="O86" i="7"/>
  <c r="X85" i="7"/>
  <c r="Y86" i="7"/>
  <c r="R86" i="7"/>
  <c r="T86" i="7"/>
  <c r="N87" i="7"/>
  <c r="M86" i="7"/>
  <c r="V86" i="7"/>
  <c r="Z86" i="7" l="1"/>
  <c r="W85" i="7"/>
  <c r="AA86" i="7"/>
  <c r="O87" i="7"/>
  <c r="X86" i="7"/>
  <c r="V87" i="7"/>
  <c r="N88" i="7"/>
  <c r="M87" i="7"/>
  <c r="R87" i="7"/>
  <c r="Y87" i="7"/>
  <c r="T87" i="7"/>
  <c r="Z87" i="7" l="1"/>
  <c r="T88" i="7"/>
  <c r="W86" i="7"/>
  <c r="AA87" i="7"/>
  <c r="O88" i="7"/>
  <c r="X87" i="7"/>
  <c r="Y88" i="7"/>
  <c r="N89" i="7"/>
  <c r="M88" i="7"/>
  <c r="V88" i="7"/>
  <c r="R88" i="7"/>
  <c r="Z88" i="7" l="1"/>
  <c r="X88" i="7" s="1"/>
  <c r="W87" i="7"/>
  <c r="AA88" i="7"/>
  <c r="Y89" i="7"/>
  <c r="O89" i="7"/>
  <c r="R89" i="7"/>
  <c r="N90" i="7"/>
  <c r="M89" i="7"/>
  <c r="V89" i="7"/>
  <c r="T89" i="7"/>
  <c r="Z89" i="7" l="1"/>
  <c r="W88" i="7"/>
  <c r="AA89" i="7"/>
  <c r="X89" i="7"/>
  <c r="R90" i="7"/>
  <c r="T90" i="7"/>
  <c r="O90" i="7"/>
  <c r="V90" i="7"/>
  <c r="N91" i="7"/>
  <c r="M90" i="7"/>
  <c r="Y90" i="7"/>
  <c r="Z90" i="7" l="1"/>
  <c r="W89" i="7"/>
  <c r="AA90" i="7"/>
  <c r="V91" i="7"/>
  <c r="X90" i="7"/>
  <c r="O91" i="7"/>
  <c r="Y91" i="7"/>
  <c r="N92" i="7"/>
  <c r="M91" i="7"/>
  <c r="T91" i="7"/>
  <c r="R91" i="7"/>
  <c r="Z91" i="7" l="1"/>
  <c r="W90" i="7"/>
  <c r="AA91" i="7"/>
  <c r="X91" i="7"/>
  <c r="R92" i="7"/>
  <c r="N93" i="7"/>
  <c r="M92" i="7"/>
  <c r="O92" i="7"/>
  <c r="Y92" i="7"/>
  <c r="T92" i="7"/>
  <c r="V92" i="7"/>
  <c r="V93" i="7" s="1"/>
  <c r="Z92" i="7" l="1"/>
  <c r="W91" i="7"/>
  <c r="AA92" i="7"/>
  <c r="X92" i="7"/>
  <c r="T93" i="7"/>
  <c r="O93" i="7"/>
  <c r="N94" i="7"/>
  <c r="M93" i="7"/>
  <c r="Y93" i="7"/>
  <c r="R93" i="7"/>
  <c r="Z93" i="7" l="1"/>
  <c r="W92" i="7"/>
  <c r="AA93" i="7"/>
  <c r="T94" i="7"/>
  <c r="X93" i="7"/>
  <c r="R94" i="7"/>
  <c r="O94" i="7"/>
  <c r="Y94" i="7"/>
  <c r="N95" i="7"/>
  <c r="M94" i="7"/>
  <c r="P94" i="7" s="1"/>
  <c r="P95" i="7" s="1"/>
  <c r="P96" i="7" s="1"/>
  <c r="P97" i="7" s="1"/>
  <c r="P98" i="7" s="1"/>
  <c r="P99" i="7" s="1"/>
  <c r="P100" i="7" s="1"/>
  <c r="P101" i="7" s="1"/>
  <c r="P102" i="7" s="1"/>
  <c r="P103" i="7" s="1"/>
  <c r="P104" i="7" s="1"/>
  <c r="P105" i="7" s="1"/>
  <c r="V94" i="7"/>
  <c r="Z94" i="7" l="1"/>
  <c r="W93" i="7"/>
  <c r="AA94" i="7"/>
  <c r="X94" i="7"/>
  <c r="O95" i="7"/>
  <c r="N96" i="7"/>
  <c r="M95" i="7"/>
  <c r="R95" i="7"/>
  <c r="V95" i="7"/>
  <c r="Y95" i="7"/>
  <c r="T95" i="7"/>
  <c r="Z95" i="7" l="1"/>
  <c r="X95" i="7" s="1"/>
  <c r="W94" i="7"/>
  <c r="AA95" i="7"/>
  <c r="Y96" i="7"/>
  <c r="T96" i="7"/>
  <c r="V96" i="7"/>
  <c r="O96" i="7"/>
  <c r="R96" i="7"/>
  <c r="N97" i="7"/>
  <c r="M96" i="7"/>
  <c r="Z96" i="7" l="1"/>
  <c r="X96" i="7" s="1"/>
  <c r="W95" i="7"/>
  <c r="AA96" i="7"/>
  <c r="R97" i="7"/>
  <c r="O97" i="7"/>
  <c r="V97" i="7"/>
  <c r="Y97" i="7"/>
  <c r="N98" i="7"/>
  <c r="M97" i="7"/>
  <c r="T97" i="7"/>
  <c r="Z97" i="7" l="1"/>
  <c r="X97" i="7" s="1"/>
  <c r="W96" i="7"/>
  <c r="AA97" i="7"/>
  <c r="V98" i="7"/>
  <c r="O98" i="7"/>
  <c r="Y98" i="7"/>
  <c r="T98" i="7"/>
  <c r="N99" i="7"/>
  <c r="M98" i="7"/>
  <c r="R98" i="7"/>
  <c r="Z98" i="7" l="1"/>
  <c r="W97" i="7"/>
  <c r="AA98" i="7"/>
  <c r="X98" i="7"/>
  <c r="Y99" i="7"/>
  <c r="N100" i="7"/>
  <c r="M99" i="7"/>
  <c r="O99" i="7"/>
  <c r="R99" i="7"/>
  <c r="T99" i="7"/>
  <c r="V99" i="7"/>
  <c r="V100" i="7" s="1"/>
  <c r="Z99" i="7" l="1"/>
  <c r="W98" i="7"/>
  <c r="AA99" i="7"/>
  <c r="X99" i="7"/>
  <c r="T100" i="7"/>
  <c r="O100" i="7"/>
  <c r="N101" i="7"/>
  <c r="M100" i="7"/>
  <c r="R100" i="7"/>
  <c r="Y100" i="7"/>
  <c r="Z100" i="7" l="1"/>
  <c r="W99" i="7"/>
  <c r="AA100" i="7"/>
  <c r="Y101" i="7"/>
  <c r="O101" i="7"/>
  <c r="N102" i="7"/>
  <c r="M101" i="7"/>
  <c r="T101" i="7"/>
  <c r="R101" i="7"/>
  <c r="V101" i="7"/>
  <c r="Z101" i="7" l="1"/>
  <c r="X100" i="7"/>
  <c r="V102" i="7"/>
  <c r="W100" i="7"/>
  <c r="X101" i="7"/>
  <c r="AA101" i="7"/>
  <c r="O102" i="7"/>
  <c r="R102" i="7"/>
  <c r="T102" i="7"/>
  <c r="N103" i="7"/>
  <c r="M102" i="7"/>
  <c r="Z102" i="7" s="1"/>
  <c r="Y102" i="7"/>
  <c r="W102" i="7" l="1"/>
  <c r="W101" i="7"/>
  <c r="AA102" i="7"/>
  <c r="Y103" i="7"/>
  <c r="N104" i="7"/>
  <c r="M103" i="7"/>
  <c r="Z103" i="7" s="1"/>
  <c r="R103" i="7"/>
  <c r="V103" i="7"/>
  <c r="T103" i="7"/>
  <c r="T104" i="7" s="1"/>
  <c r="O103" i="7"/>
  <c r="W103" i="7" l="1"/>
  <c r="X102" i="7"/>
  <c r="AA103" i="7"/>
  <c r="Y104" i="7"/>
  <c r="O104" i="7"/>
  <c r="R104" i="7"/>
  <c r="V104" i="7"/>
  <c r="N105" i="7"/>
  <c r="M104" i="7"/>
  <c r="Z104" i="7" s="1"/>
  <c r="X103" i="7" l="1"/>
  <c r="W104" i="7"/>
  <c r="AA104" i="7"/>
  <c r="Y105" i="7"/>
  <c r="R105" i="7"/>
  <c r="O105" i="7"/>
  <c r="N106" i="7"/>
  <c r="M105" i="7"/>
  <c r="Z105" i="7" s="1"/>
  <c r="T105" i="7"/>
  <c r="V105" i="7"/>
  <c r="X104" i="7" l="1"/>
  <c r="AA105" i="7"/>
  <c r="X105" i="7"/>
  <c r="V106" i="7"/>
  <c r="T106" i="7"/>
  <c r="N107" i="7"/>
  <c r="M106" i="7"/>
  <c r="P106" i="7" s="1"/>
  <c r="P107" i="7" s="1"/>
  <c r="P108" i="7" s="1"/>
  <c r="P109" i="7" s="1"/>
  <c r="P110" i="7" s="1"/>
  <c r="P111" i="7" s="1"/>
  <c r="P112" i="7" s="1"/>
  <c r="P113" i="7" s="1"/>
  <c r="P114" i="7" s="1"/>
  <c r="P115" i="7" s="1"/>
  <c r="P116" i="7" s="1"/>
  <c r="P117" i="7" s="1"/>
  <c r="O106" i="7"/>
  <c r="R106" i="7"/>
  <c r="Y106" i="7"/>
  <c r="Z106" i="7" l="1"/>
  <c r="W105" i="7"/>
  <c r="AA106" i="7"/>
  <c r="X106" i="7"/>
  <c r="T107" i="7"/>
  <c r="O107" i="7"/>
  <c r="Y107" i="7"/>
  <c r="R107" i="7"/>
  <c r="N108" i="7"/>
  <c r="M107" i="7"/>
  <c r="V107" i="7"/>
  <c r="Z107" i="7" l="1"/>
  <c r="W106" i="7"/>
  <c r="AA107" i="7"/>
  <c r="X107" i="7"/>
  <c r="R108" i="7"/>
  <c r="Y108" i="7"/>
  <c r="N109" i="7"/>
  <c r="M108" i="7"/>
  <c r="O108" i="7"/>
  <c r="V108" i="7"/>
  <c r="T108" i="7"/>
  <c r="T109" i="7" s="1"/>
  <c r="Z108" i="7" l="1"/>
  <c r="W107" i="7"/>
  <c r="AA108" i="7"/>
  <c r="V109" i="7"/>
  <c r="X108" i="7"/>
  <c r="O109" i="7"/>
  <c r="N110" i="7"/>
  <c r="T110" i="7" s="1"/>
  <c r="M109" i="7"/>
  <c r="R109" i="7"/>
  <c r="Y109" i="7"/>
  <c r="Z109" i="7" l="1"/>
  <c r="X109" i="7" s="1"/>
  <c r="W108" i="7"/>
  <c r="AA109" i="7"/>
  <c r="Y110" i="7"/>
  <c r="O110" i="7"/>
  <c r="R110" i="7"/>
  <c r="N111" i="7"/>
  <c r="T111" i="7" s="1"/>
  <c r="M110" i="7"/>
  <c r="V110" i="7"/>
  <c r="Z110" i="7" l="1"/>
  <c r="W109" i="7"/>
  <c r="AA110" i="7"/>
  <c r="V111" i="7"/>
  <c r="X110" i="7"/>
  <c r="N112" i="7"/>
  <c r="T112" i="7" s="1"/>
  <c r="M111" i="7"/>
  <c r="O111" i="7"/>
  <c r="R111" i="7"/>
  <c r="Y111" i="7"/>
  <c r="Z111" i="7" l="1"/>
  <c r="W110" i="7"/>
  <c r="AA111" i="7"/>
  <c r="Y112" i="7"/>
  <c r="X111" i="7"/>
  <c r="R112" i="7"/>
  <c r="O112" i="7"/>
  <c r="N113" i="7"/>
  <c r="M112" i="7"/>
  <c r="V112" i="7"/>
  <c r="Z112" i="7" l="1"/>
  <c r="X112" i="7" s="1"/>
  <c r="W111" i="7"/>
  <c r="AA112" i="7"/>
  <c r="O113" i="7"/>
  <c r="V113" i="7"/>
  <c r="N114" i="7"/>
  <c r="M113" i="7"/>
  <c r="R113" i="7"/>
  <c r="T113" i="7"/>
  <c r="Y113" i="7"/>
  <c r="Z113" i="7" l="1"/>
  <c r="W112" i="7"/>
  <c r="AA113" i="7"/>
  <c r="O114" i="7"/>
  <c r="R114" i="7"/>
  <c r="Y114" i="7"/>
  <c r="T114" i="7"/>
  <c r="X113" i="7"/>
  <c r="V114" i="7"/>
  <c r="N115" i="7"/>
  <c r="M114" i="7"/>
  <c r="Z114" i="7" l="1"/>
  <c r="W113" i="7"/>
  <c r="AA114" i="7"/>
  <c r="T115" i="7"/>
  <c r="X114" i="7"/>
  <c r="R115" i="7"/>
  <c r="N116" i="7"/>
  <c r="M115" i="7"/>
  <c r="O115" i="7"/>
  <c r="V115" i="7"/>
  <c r="Y115" i="7"/>
  <c r="Z115" i="7" l="1"/>
  <c r="W114" i="7"/>
  <c r="AA115" i="7"/>
  <c r="X115" i="7"/>
  <c r="V116" i="7"/>
  <c r="R116" i="7"/>
  <c r="O116" i="7"/>
  <c r="Y116" i="7"/>
  <c r="N117" i="7"/>
  <c r="M116" i="7"/>
  <c r="T116" i="7"/>
  <c r="Z116" i="7" l="1"/>
  <c r="W115" i="7"/>
  <c r="AA116" i="7"/>
  <c r="X116" i="7"/>
  <c r="T117" i="7"/>
  <c r="O117" i="7"/>
  <c r="Y117" i="7"/>
  <c r="N118" i="7"/>
  <c r="M117" i="7"/>
  <c r="V117" i="7"/>
  <c r="R117" i="7"/>
  <c r="Z117" i="7" l="1"/>
  <c r="W116" i="7"/>
  <c r="AA117" i="7"/>
  <c r="T118" i="7"/>
  <c r="X117" i="7"/>
  <c r="O118" i="7"/>
  <c r="R118" i="7"/>
  <c r="V118" i="7"/>
  <c r="Y118" i="7"/>
  <c r="N119" i="7"/>
  <c r="M118" i="7"/>
  <c r="P118" i="7" s="1"/>
  <c r="P119" i="7" s="1"/>
  <c r="P120" i="7" s="1"/>
  <c r="P121" i="7" s="1"/>
  <c r="P122" i="7" s="1"/>
  <c r="P123" i="7" s="1"/>
  <c r="P124" i="7" s="1"/>
  <c r="P125" i="7" s="1"/>
  <c r="P126" i="7" s="1"/>
  <c r="P127" i="7" s="1"/>
  <c r="P128" i="7" s="1"/>
  <c r="P129" i="7" s="1"/>
  <c r="Z118" i="7" l="1"/>
  <c r="W117" i="7"/>
  <c r="V119" i="7"/>
  <c r="AA118" i="7"/>
  <c r="X118" i="7"/>
  <c r="O119" i="7"/>
  <c r="R119" i="7"/>
  <c r="N120" i="7"/>
  <c r="M119" i="7"/>
  <c r="Y119" i="7"/>
  <c r="T119" i="7"/>
  <c r="Z119" i="7" l="1"/>
  <c r="W118" i="7"/>
  <c r="AA119" i="7"/>
  <c r="O120" i="7"/>
  <c r="X119" i="7"/>
  <c r="N121" i="7"/>
  <c r="M120" i="7"/>
  <c r="R120" i="7"/>
  <c r="T120" i="7"/>
  <c r="Y120" i="7"/>
  <c r="V120" i="7"/>
  <c r="V121" i="7" s="1"/>
  <c r="Z120" i="7" l="1"/>
  <c r="Y121" i="7"/>
  <c r="W119" i="7"/>
  <c r="O121" i="7"/>
  <c r="AA120" i="7"/>
  <c r="X120" i="7"/>
  <c r="T121" i="7"/>
  <c r="N122" i="7"/>
  <c r="M121" i="7"/>
  <c r="R121" i="7"/>
  <c r="Z121" i="7" l="1"/>
  <c r="Y122" i="7"/>
  <c r="W120" i="7"/>
  <c r="AA121" i="7"/>
  <c r="X121" i="7"/>
  <c r="O122" i="7"/>
  <c r="R122" i="7"/>
  <c r="T122" i="7"/>
  <c r="N123" i="7"/>
  <c r="M122" i="7"/>
  <c r="V122" i="7"/>
  <c r="Z122" i="7" l="1"/>
  <c r="Y123" i="7"/>
  <c r="W121" i="7"/>
  <c r="AA122" i="7"/>
  <c r="V123" i="7"/>
  <c r="X122" i="7"/>
  <c r="O123" i="7"/>
  <c r="N124" i="7"/>
  <c r="M123" i="7"/>
  <c r="T123" i="7"/>
  <c r="R123" i="7"/>
  <c r="Z123" i="7" l="1"/>
  <c r="W122" i="7"/>
  <c r="AA123" i="7"/>
  <c r="O124" i="7"/>
  <c r="R124" i="7"/>
  <c r="T124" i="7"/>
  <c r="N125" i="7"/>
  <c r="M124" i="7"/>
  <c r="V124" i="7"/>
  <c r="Y124" i="7"/>
  <c r="Z124" i="7" l="1"/>
  <c r="X123" i="7"/>
  <c r="W123" i="7"/>
  <c r="O125" i="7"/>
  <c r="AA124" i="7"/>
  <c r="Y125" i="7"/>
  <c r="X124" i="7"/>
  <c r="V125" i="7"/>
  <c r="T125" i="7"/>
  <c r="N126" i="7"/>
  <c r="M125" i="7"/>
  <c r="Z125" i="7" s="1"/>
  <c r="R125" i="7"/>
  <c r="W124" i="7" l="1"/>
  <c r="AA125" i="7"/>
  <c r="X125" i="7"/>
  <c r="T126" i="7"/>
  <c r="O126" i="7"/>
  <c r="R126" i="7"/>
  <c r="N127" i="7"/>
  <c r="M126" i="7"/>
  <c r="Z126" i="7" s="1"/>
  <c r="Y126" i="7"/>
  <c r="V126" i="7"/>
  <c r="W125" i="7" l="1"/>
  <c r="AA126" i="7"/>
  <c r="X126" i="7"/>
  <c r="V127" i="7"/>
  <c r="R127" i="7"/>
  <c r="Y127" i="7"/>
  <c r="O127" i="7"/>
  <c r="N128" i="7"/>
  <c r="M127" i="7"/>
  <c r="Z127" i="7" s="1"/>
  <c r="T127" i="7"/>
  <c r="W126" i="7" l="1"/>
  <c r="AA127" i="7"/>
  <c r="V128" i="7"/>
  <c r="X127" i="7"/>
  <c r="O128" i="7"/>
  <c r="T128" i="7"/>
  <c r="N129" i="7"/>
  <c r="M128" i="7"/>
  <c r="Z128" i="7" s="1"/>
  <c r="Y128" i="7"/>
  <c r="R128" i="7"/>
  <c r="W127" i="7" l="1"/>
  <c r="AA128" i="7"/>
  <c r="V129" i="7"/>
  <c r="O129" i="7"/>
  <c r="R129" i="7"/>
  <c r="X128" i="7"/>
  <c r="Y129" i="7"/>
  <c r="N130" i="7"/>
  <c r="M129" i="7"/>
  <c r="Z129" i="7" s="1"/>
  <c r="T129" i="7"/>
  <c r="W128" i="7" l="1"/>
  <c r="AA129" i="7"/>
  <c r="AA130" i="7" s="1"/>
  <c r="X129" i="7"/>
  <c r="T130" i="7"/>
  <c r="N131" i="7"/>
  <c r="M130" i="7"/>
  <c r="P130" i="7" s="1"/>
  <c r="P131" i="7" s="1"/>
  <c r="P132" i="7" s="1"/>
  <c r="P133" i="7" s="1"/>
  <c r="P134" i="7" s="1"/>
  <c r="P135" i="7" s="1"/>
  <c r="P136" i="7" s="1"/>
  <c r="P137" i="7" s="1"/>
  <c r="P138" i="7" s="1"/>
  <c r="P139" i="7" s="1"/>
  <c r="P140" i="7" s="1"/>
  <c r="P141" i="7" s="1"/>
  <c r="Y130" i="7"/>
  <c r="O130" i="7"/>
  <c r="R130" i="7"/>
  <c r="V130" i="7"/>
  <c r="V131" i="7" s="1"/>
  <c r="Z130" i="7" l="1"/>
  <c r="W129" i="7"/>
  <c r="X130" i="7"/>
  <c r="R131" i="7"/>
  <c r="O131" i="7"/>
  <c r="Y131" i="7"/>
  <c r="N132" i="7"/>
  <c r="AA131" i="7" s="1"/>
  <c r="M131" i="7"/>
  <c r="T131" i="7"/>
  <c r="Z131" i="7" l="1"/>
  <c r="X131" i="7" s="1"/>
  <c r="W130" i="7"/>
  <c r="R132" i="7"/>
  <c r="O132" i="7"/>
  <c r="Y132" i="7"/>
  <c r="N133" i="7"/>
  <c r="AA132" i="7" s="1"/>
  <c r="M132" i="7"/>
  <c r="V132" i="7"/>
  <c r="T132" i="7"/>
  <c r="Z132" i="7" l="1"/>
  <c r="X132" i="7" s="1"/>
  <c r="T133" i="7"/>
  <c r="W131" i="7"/>
  <c r="O133" i="7"/>
  <c r="N134" i="7"/>
  <c r="AA133" i="7" s="1"/>
  <c r="M133" i="7"/>
  <c r="R133" i="7"/>
  <c r="V133" i="7"/>
  <c r="Y133" i="7"/>
  <c r="Z133" i="7" l="1"/>
  <c r="W132" i="7"/>
  <c r="X133" i="7"/>
  <c r="V134" i="7"/>
  <c r="N135" i="7"/>
  <c r="AA134" i="7" s="1"/>
  <c r="M134" i="7"/>
  <c r="T134" i="7"/>
  <c r="O134" i="7"/>
  <c r="Y134" i="7"/>
  <c r="R134" i="7"/>
  <c r="Z134" i="7" l="1"/>
  <c r="X134" i="7" s="1"/>
  <c r="R135" i="7"/>
  <c r="W133" i="7"/>
  <c r="Y135" i="7"/>
  <c r="O135" i="7"/>
  <c r="N136" i="7"/>
  <c r="AA135" i="7" s="1"/>
  <c r="M135" i="7"/>
  <c r="T135" i="7"/>
  <c r="V135" i="7"/>
  <c r="Z135" i="7" l="1"/>
  <c r="X135" i="7" s="1"/>
  <c r="W134" i="7"/>
  <c r="O136" i="7"/>
  <c r="T136" i="7"/>
  <c r="N137" i="7"/>
  <c r="AA136" i="7" s="1"/>
  <c r="M136" i="7"/>
  <c r="Y136" i="7"/>
  <c r="R136" i="7"/>
  <c r="V136" i="7"/>
  <c r="Z136" i="7" l="1"/>
  <c r="W135" i="7"/>
  <c r="V137" i="7"/>
  <c r="O137" i="7"/>
  <c r="X136" i="7"/>
  <c r="Y137" i="7"/>
  <c r="R137" i="7"/>
  <c r="T137" i="7"/>
  <c r="N138" i="7"/>
  <c r="M137" i="7"/>
  <c r="Z137" i="7" l="1"/>
  <c r="W136" i="7"/>
  <c r="V138" i="7"/>
  <c r="AA137" i="7"/>
  <c r="X137" i="7"/>
  <c r="O138" i="7"/>
  <c r="Y138" i="7"/>
  <c r="N139" i="7"/>
  <c r="M138" i="7"/>
  <c r="R138" i="7"/>
  <c r="T138" i="7"/>
  <c r="Z138" i="7" l="1"/>
  <c r="W137" i="7"/>
  <c r="AA138" i="7"/>
  <c r="O139" i="7"/>
  <c r="X138" i="7"/>
  <c r="T139" i="7"/>
  <c r="Y139" i="7"/>
  <c r="R139" i="7"/>
  <c r="N140" i="7"/>
  <c r="M139" i="7"/>
  <c r="V139" i="7"/>
  <c r="Z139" i="7" l="1"/>
  <c r="W138" i="7"/>
  <c r="AA139" i="7"/>
  <c r="Y140" i="7"/>
  <c r="X139" i="7"/>
  <c r="O140" i="7"/>
  <c r="V140" i="7"/>
  <c r="T140" i="7"/>
  <c r="N141" i="7"/>
  <c r="M140" i="7"/>
  <c r="R140" i="7"/>
  <c r="Z140" i="7" l="1"/>
  <c r="W139" i="7"/>
  <c r="AA140" i="7"/>
  <c r="Y141" i="7"/>
  <c r="X140" i="7"/>
  <c r="R141" i="7"/>
  <c r="O141" i="7"/>
  <c r="T141" i="7"/>
  <c r="N142" i="7"/>
  <c r="M141" i="7"/>
  <c r="V141" i="7"/>
  <c r="Z141" i="7" l="1"/>
  <c r="W140" i="7"/>
  <c r="AA141" i="7"/>
  <c r="V142" i="7"/>
  <c r="R142" i="7"/>
  <c r="X141" i="7"/>
  <c r="T142" i="7"/>
  <c r="O142" i="7"/>
  <c r="N143" i="7"/>
  <c r="M142" i="7"/>
  <c r="P142" i="7" s="1"/>
  <c r="P143" i="7" s="1"/>
  <c r="P144" i="7" s="1"/>
  <c r="P145" i="7" s="1"/>
  <c r="P146" i="7" s="1"/>
  <c r="P147" i="7" s="1"/>
  <c r="P148" i="7" s="1"/>
  <c r="P149" i="7" s="1"/>
  <c r="P150" i="7" s="1"/>
  <c r="P151" i="7" s="1"/>
  <c r="P152" i="7" s="1"/>
  <c r="P153" i="7" s="1"/>
  <c r="Y142" i="7"/>
  <c r="Z142" i="7" l="1"/>
  <c r="W141" i="7"/>
  <c r="R143" i="7"/>
  <c r="AA142" i="7"/>
  <c r="O143" i="7"/>
  <c r="X142" i="7"/>
  <c r="Y143" i="7"/>
  <c r="N144" i="7"/>
  <c r="M143" i="7"/>
  <c r="T143" i="7"/>
  <c r="V143" i="7"/>
  <c r="Z143" i="7" l="1"/>
  <c r="W142" i="7"/>
  <c r="AA143" i="7"/>
  <c r="X143" i="7"/>
  <c r="N145" i="7"/>
  <c r="M144" i="7"/>
  <c r="V144" i="7"/>
  <c r="Y144" i="7"/>
  <c r="O144" i="7"/>
  <c r="T144" i="7"/>
  <c r="R144" i="7"/>
  <c r="Z144" i="7" l="1"/>
  <c r="T145" i="7"/>
  <c r="W143" i="7"/>
  <c r="AA144" i="7"/>
  <c r="X144" i="7"/>
  <c r="R145" i="7"/>
  <c r="V145" i="7"/>
  <c r="O145" i="7"/>
  <c r="Y145" i="7"/>
  <c r="N146" i="7"/>
  <c r="M145" i="7"/>
  <c r="Z145" i="7" l="1"/>
  <c r="X145" i="7" s="1"/>
  <c r="W144" i="7"/>
  <c r="AA145" i="7"/>
  <c r="AA146" i="7" s="1"/>
  <c r="O146" i="7"/>
  <c r="N147" i="7"/>
  <c r="M146" i="7"/>
  <c r="Y146" i="7"/>
  <c r="T146" i="7"/>
  <c r="R146" i="7"/>
  <c r="R147" i="7" s="1"/>
  <c r="V146" i="7"/>
  <c r="V147" i="7" s="1"/>
  <c r="Z146" i="7" l="1"/>
  <c r="W145" i="7"/>
  <c r="O147" i="7"/>
  <c r="X146" i="7"/>
  <c r="T147" i="7"/>
  <c r="Y147" i="7"/>
  <c r="N148" i="7"/>
  <c r="AA147" i="7" s="1"/>
  <c r="M147" i="7"/>
  <c r="Z147" i="7" l="1"/>
  <c r="X147" i="7" s="1"/>
  <c r="W146" i="7"/>
  <c r="Y148" i="7"/>
  <c r="O148" i="7"/>
  <c r="R148" i="7"/>
  <c r="T148" i="7"/>
  <c r="N149" i="7"/>
  <c r="AA148" i="7" s="1"/>
  <c r="M148" i="7"/>
  <c r="V148" i="7"/>
  <c r="Z148" i="7" l="1"/>
  <c r="X148" i="7" s="1"/>
  <c r="W147" i="7"/>
  <c r="R149" i="7"/>
  <c r="O149" i="7"/>
  <c r="T149" i="7"/>
  <c r="V149" i="7"/>
  <c r="N150" i="7"/>
  <c r="AA149" i="7" s="1"/>
  <c r="M149" i="7"/>
  <c r="Y149" i="7"/>
  <c r="Z149" i="7" l="1"/>
  <c r="X149" i="7" s="1"/>
  <c r="W148" i="7"/>
  <c r="T150" i="7"/>
  <c r="Y150" i="7"/>
  <c r="V150" i="7"/>
  <c r="N151" i="7"/>
  <c r="AA150" i="7" s="1"/>
  <c r="M150" i="7"/>
  <c r="O150" i="7"/>
  <c r="R150" i="7"/>
  <c r="Z150" i="7" l="1"/>
  <c r="W149" i="7"/>
  <c r="X150" i="7"/>
  <c r="R151" i="7"/>
  <c r="O151" i="7"/>
  <c r="N152" i="7"/>
  <c r="AA151" i="7" s="1"/>
  <c r="M151" i="7"/>
  <c r="Y151" i="7"/>
  <c r="V151" i="7"/>
  <c r="T151" i="7"/>
  <c r="Z151" i="7" l="1"/>
  <c r="W150" i="7"/>
  <c r="T152" i="7"/>
  <c r="V152" i="7"/>
  <c r="X151" i="7"/>
  <c r="O152" i="7"/>
  <c r="N153" i="7"/>
  <c r="AA152" i="7" s="1"/>
  <c r="M152" i="7"/>
  <c r="Y152" i="7"/>
  <c r="R152" i="7"/>
  <c r="Z152" i="7" l="1"/>
  <c r="W151" i="7"/>
  <c r="V153" i="7"/>
  <c r="X152" i="7"/>
  <c r="R153" i="7"/>
  <c r="O153" i="7"/>
  <c r="Y153" i="7"/>
  <c r="N154" i="7"/>
  <c r="AA153" i="7" s="1"/>
  <c r="M153" i="7"/>
  <c r="T153" i="7"/>
  <c r="Z153" i="7" l="1"/>
  <c r="W152" i="7"/>
  <c r="T154" i="7"/>
  <c r="X153" i="7"/>
  <c r="R154" i="7"/>
  <c r="O154" i="7"/>
  <c r="Y154" i="7"/>
  <c r="N155" i="7"/>
  <c r="AA154" i="7" s="1"/>
  <c r="M154" i="7"/>
  <c r="P154" i="7" s="1"/>
  <c r="P155" i="7" s="1"/>
  <c r="P156" i="7" s="1"/>
  <c r="P157" i="7" s="1"/>
  <c r="P158" i="7" s="1"/>
  <c r="P159" i="7" s="1"/>
  <c r="P160" i="7" s="1"/>
  <c r="P161" i="7" s="1"/>
  <c r="P162" i="7" s="1"/>
  <c r="P163" i="7" s="1"/>
  <c r="P164" i="7" s="1"/>
  <c r="P165" i="7" s="1"/>
  <c r="V154" i="7"/>
  <c r="Z154" i="7" l="1"/>
  <c r="X154" i="7" s="1"/>
  <c r="W153" i="7"/>
  <c r="O155" i="7"/>
  <c r="N156" i="7"/>
  <c r="AA155" i="7" s="1"/>
  <c r="M155" i="7"/>
  <c r="Y155" i="7"/>
  <c r="T155" i="7"/>
  <c r="V155" i="7"/>
  <c r="R155" i="7"/>
  <c r="Z155" i="7" l="1"/>
  <c r="X155" i="7" s="1"/>
  <c r="V156" i="7"/>
  <c r="W154" i="7"/>
  <c r="O156" i="7"/>
  <c r="Y156" i="7"/>
  <c r="R156" i="7"/>
  <c r="N157" i="7"/>
  <c r="M156" i="7"/>
  <c r="T156" i="7"/>
  <c r="Z156" i="7" l="1"/>
  <c r="V157" i="7"/>
  <c r="W155" i="7"/>
  <c r="AA156" i="7"/>
  <c r="T157" i="7"/>
  <c r="X156" i="7"/>
  <c r="O157" i="7"/>
  <c r="R157" i="7"/>
  <c r="N158" i="7"/>
  <c r="M157" i="7"/>
  <c r="Y157" i="7"/>
  <c r="Z157" i="7" l="1"/>
  <c r="T158" i="7"/>
  <c r="W156" i="7"/>
  <c r="AA157" i="7"/>
  <c r="X157" i="7"/>
  <c r="O158" i="7"/>
  <c r="R158" i="7"/>
  <c r="Y158" i="7"/>
  <c r="N159" i="7"/>
  <c r="M158" i="7"/>
  <c r="V158" i="7"/>
  <c r="Z158" i="7" l="1"/>
  <c r="X158" i="7" s="1"/>
  <c r="W157" i="7"/>
  <c r="AA158" i="7"/>
  <c r="Y159" i="7"/>
  <c r="O159" i="7"/>
  <c r="N160" i="7"/>
  <c r="M159" i="7"/>
  <c r="V159" i="7"/>
  <c r="T159" i="7"/>
  <c r="R159" i="7"/>
  <c r="Z159" i="7" l="1"/>
  <c r="R160" i="7"/>
  <c r="W158" i="7"/>
  <c r="AA159" i="7"/>
  <c r="Y160" i="7"/>
  <c r="X159" i="7"/>
  <c r="T160" i="7"/>
  <c r="V160" i="7"/>
  <c r="O160" i="7"/>
  <c r="N161" i="7"/>
  <c r="M160" i="7"/>
  <c r="Z160" i="7" l="1"/>
  <c r="W159" i="7"/>
  <c r="AA160" i="7"/>
  <c r="T161" i="7"/>
  <c r="X160" i="7"/>
  <c r="O161" i="7"/>
  <c r="R161" i="7"/>
  <c r="V161" i="7"/>
  <c r="N162" i="7"/>
  <c r="M161" i="7"/>
  <c r="Y161" i="7"/>
  <c r="Z161" i="7" l="1"/>
  <c r="X161" i="7" s="1"/>
  <c r="W160" i="7"/>
  <c r="AA161" i="7"/>
  <c r="O162" i="7"/>
  <c r="V162" i="7"/>
  <c r="Y162" i="7"/>
  <c r="R162" i="7"/>
  <c r="N163" i="7"/>
  <c r="M162" i="7"/>
  <c r="T162" i="7"/>
  <c r="Z162" i="7" l="1"/>
  <c r="W161" i="7"/>
  <c r="AA162" i="7"/>
  <c r="X162" i="7"/>
  <c r="Y163" i="7"/>
  <c r="O163" i="7"/>
  <c r="V163" i="7"/>
  <c r="T163" i="7"/>
  <c r="N164" i="7"/>
  <c r="M163" i="7"/>
  <c r="R163" i="7"/>
  <c r="Z163" i="7" l="1"/>
  <c r="W162" i="7"/>
  <c r="AA163" i="7"/>
  <c r="T164" i="7"/>
  <c r="X163" i="7"/>
  <c r="O164" i="7"/>
  <c r="R164" i="7"/>
  <c r="N165" i="7"/>
  <c r="M164" i="7"/>
  <c r="Y164" i="7"/>
  <c r="V164" i="7"/>
  <c r="Z164" i="7" l="1"/>
  <c r="T165" i="7"/>
  <c r="W163" i="7"/>
  <c r="AA164" i="7"/>
  <c r="X164" i="7"/>
  <c r="V165" i="7"/>
  <c r="N166" i="7"/>
  <c r="M165" i="7"/>
  <c r="O165" i="7"/>
  <c r="Y165" i="7"/>
  <c r="R165" i="7"/>
  <c r="Z165" i="7" l="1"/>
  <c r="R166" i="7"/>
  <c r="W164" i="7"/>
  <c r="AA165" i="7"/>
  <c r="X165" i="7"/>
  <c r="Y166" i="7"/>
  <c r="V166" i="7"/>
  <c r="O166" i="7"/>
  <c r="N167" i="7"/>
  <c r="M167" i="7" s="1"/>
  <c r="M166" i="7"/>
  <c r="P166" i="7" s="1"/>
  <c r="P167" i="7" s="1"/>
  <c r="P168" i="7" s="1"/>
  <c r="P169" i="7" s="1"/>
  <c r="P170" i="7" s="1"/>
  <c r="P171" i="7" s="1"/>
  <c r="P172" i="7" s="1"/>
  <c r="P173" i="7" s="1"/>
  <c r="P174" i="7" s="1"/>
  <c r="P175" i="7" s="1"/>
  <c r="P176" i="7" s="1"/>
  <c r="P177" i="7" s="1"/>
  <c r="T166" i="7"/>
  <c r="Z166" i="7" l="1"/>
  <c r="Z167" i="7" s="1"/>
  <c r="W165" i="7"/>
  <c r="AA166" i="7"/>
  <c r="T167" i="7"/>
  <c r="X166" i="7"/>
  <c r="N168" i="7"/>
  <c r="V167" i="7"/>
  <c r="R167" i="7"/>
  <c r="O167" i="7"/>
  <c r="Y167" i="7"/>
  <c r="W166" i="7" l="1"/>
  <c r="AA167" i="7"/>
  <c r="X167" i="7"/>
  <c r="Y168" i="7"/>
  <c r="V168" i="7"/>
  <c r="O168" i="7"/>
  <c r="N169" i="7"/>
  <c r="M168" i="7"/>
  <c r="Z168" i="7" s="1"/>
  <c r="R168" i="7"/>
  <c r="T168" i="7"/>
  <c r="W167" i="7" l="1"/>
  <c r="AA168" i="7"/>
  <c r="Y169" i="7"/>
  <c r="X168" i="7"/>
  <c r="T169" i="7"/>
  <c r="O169" i="7"/>
  <c r="R169" i="7"/>
  <c r="N170" i="7"/>
  <c r="M169" i="7"/>
  <c r="Z169" i="7" s="1"/>
  <c r="V169" i="7"/>
  <c r="W168" i="7" l="1"/>
  <c r="AA169" i="7"/>
  <c r="X169" i="7"/>
  <c r="O170" i="7"/>
  <c r="R170" i="7"/>
  <c r="N171" i="7"/>
  <c r="M170" i="7"/>
  <c r="Z170" i="7" s="1"/>
  <c r="T170" i="7"/>
  <c r="V170" i="7"/>
  <c r="Y170" i="7"/>
  <c r="Y171" i="7" l="1"/>
  <c r="W169" i="7"/>
  <c r="AA170" i="7"/>
  <c r="O171" i="7"/>
  <c r="X170" i="7"/>
  <c r="V171" i="7"/>
  <c r="R171" i="7"/>
  <c r="T171" i="7"/>
  <c r="N172" i="7"/>
  <c r="M171" i="7"/>
  <c r="Z171" i="7" s="1"/>
  <c r="W170" i="7" l="1"/>
  <c r="AA171" i="7"/>
  <c r="X171" i="7"/>
  <c r="N173" i="7"/>
  <c r="M172" i="7"/>
  <c r="Z172" i="7" s="1"/>
  <c r="T172" i="7"/>
  <c r="R172" i="7"/>
  <c r="Y172" i="7"/>
  <c r="V172" i="7"/>
  <c r="O172" i="7"/>
  <c r="V173" i="7" l="1"/>
  <c r="W171" i="7"/>
  <c r="AA172" i="7"/>
  <c r="X172" i="7"/>
  <c r="Y173" i="7"/>
  <c r="T173" i="7"/>
  <c r="R173" i="7"/>
  <c r="O173" i="7"/>
  <c r="N174" i="7"/>
  <c r="M173" i="7"/>
  <c r="Z173" i="7" s="1"/>
  <c r="W172" i="7" l="1"/>
  <c r="AA173" i="7"/>
  <c r="X173" i="7"/>
  <c r="N175" i="7"/>
  <c r="M174" i="7"/>
  <c r="Z174" i="7" s="1"/>
  <c r="Y174" i="7"/>
  <c r="T174" i="7"/>
  <c r="O174" i="7"/>
  <c r="V174" i="7"/>
  <c r="R174" i="7"/>
  <c r="V175" i="7" l="1"/>
  <c r="W173" i="7"/>
  <c r="AA174" i="7"/>
  <c r="X174" i="7"/>
  <c r="O175" i="7"/>
  <c r="T175" i="7"/>
  <c r="R175" i="7"/>
  <c r="Y175" i="7"/>
  <c r="N176" i="7"/>
  <c r="M175" i="7"/>
  <c r="Z175" i="7" s="1"/>
  <c r="W174" i="7" l="1"/>
  <c r="AA175" i="7"/>
  <c r="X175" i="7"/>
  <c r="N177" i="7"/>
  <c r="M176" i="7"/>
  <c r="Z176" i="7" s="1"/>
  <c r="R176" i="7"/>
  <c r="V176" i="7"/>
  <c r="O176" i="7"/>
  <c r="Y176" i="7"/>
  <c r="T176" i="7"/>
  <c r="W175" i="7" l="1"/>
  <c r="AA176" i="7"/>
  <c r="X176" i="7"/>
  <c r="O177" i="7"/>
  <c r="Y177" i="7"/>
  <c r="V177" i="7"/>
  <c r="T177" i="7"/>
  <c r="R177" i="7"/>
  <c r="N178" i="7"/>
  <c r="M177" i="7"/>
  <c r="Z177" i="7" s="1"/>
  <c r="W176" i="7" l="1"/>
  <c r="T178" i="7"/>
  <c r="AA177" i="7"/>
  <c r="X177" i="7"/>
  <c r="R178" i="7"/>
  <c r="O178" i="7"/>
  <c r="Y178" i="7"/>
  <c r="N179" i="7"/>
  <c r="M178" i="7"/>
  <c r="P178" i="7" s="1"/>
  <c r="P179" i="7" s="1"/>
  <c r="P180" i="7" s="1"/>
  <c r="P181" i="7" s="1"/>
  <c r="P182" i="7" s="1"/>
  <c r="P183" i="7" s="1"/>
  <c r="P184" i="7" s="1"/>
  <c r="P185" i="7" s="1"/>
  <c r="P186" i="7" s="1"/>
  <c r="P187" i="7" s="1"/>
  <c r="P188" i="7" s="1"/>
  <c r="P189" i="7" s="1"/>
  <c r="V178" i="7"/>
  <c r="Z178" i="7" l="1"/>
  <c r="W177" i="7"/>
  <c r="AA178" i="7"/>
  <c r="O179" i="7"/>
  <c r="X178" i="7"/>
  <c r="Y179" i="7"/>
  <c r="V179" i="7"/>
  <c r="R179" i="7"/>
  <c r="N180" i="7"/>
  <c r="M179" i="7"/>
  <c r="T179" i="7"/>
  <c r="Z179" i="7" l="1"/>
  <c r="W178" i="7"/>
  <c r="AA179" i="7"/>
  <c r="Y180" i="7"/>
  <c r="X179" i="7"/>
  <c r="T180" i="7"/>
  <c r="O180" i="7"/>
  <c r="N181" i="7"/>
  <c r="M180" i="7"/>
  <c r="R180" i="7"/>
  <c r="V180" i="7"/>
  <c r="Z180" i="7" l="1"/>
  <c r="W179" i="7"/>
  <c r="AA180" i="7"/>
  <c r="V181" i="7"/>
  <c r="X180" i="7"/>
  <c r="R181" i="7"/>
  <c r="N182" i="7"/>
  <c r="M181" i="7"/>
  <c r="T181" i="7"/>
  <c r="O181" i="7"/>
  <c r="Y181" i="7"/>
  <c r="Z181" i="7" l="1"/>
  <c r="W180" i="7"/>
  <c r="AA181" i="7"/>
  <c r="V182" i="7"/>
  <c r="X181" i="7"/>
  <c r="Y182" i="7"/>
  <c r="O182" i="7"/>
  <c r="T182" i="7"/>
  <c r="N183" i="7"/>
  <c r="M182" i="7"/>
  <c r="R182" i="7"/>
  <c r="Z182" i="7" l="1"/>
  <c r="W181" i="7"/>
  <c r="AA182" i="7"/>
  <c r="V183" i="7"/>
  <c r="X182" i="7"/>
  <c r="R183" i="7"/>
  <c r="T183" i="7"/>
  <c r="O183" i="7"/>
  <c r="N184" i="7"/>
  <c r="M183" i="7"/>
  <c r="Y183" i="7"/>
  <c r="Z183" i="7" l="1"/>
  <c r="W182" i="7"/>
  <c r="AA183" i="7"/>
  <c r="T184" i="7"/>
  <c r="X183" i="7"/>
  <c r="Y184" i="7"/>
  <c r="O184" i="7"/>
  <c r="N185" i="7"/>
  <c r="M184" i="7"/>
  <c r="V184" i="7"/>
  <c r="R184" i="7"/>
  <c r="Z184" i="7" l="1"/>
  <c r="W183" i="7"/>
  <c r="AA184" i="7"/>
  <c r="X184" i="7"/>
  <c r="O185" i="7"/>
  <c r="R185" i="7"/>
  <c r="N186" i="7"/>
  <c r="M185" i="7"/>
  <c r="V185" i="7"/>
  <c r="Y185" i="7"/>
  <c r="T185" i="7"/>
  <c r="Z185" i="7" l="1"/>
  <c r="T186" i="7"/>
  <c r="W184" i="7"/>
  <c r="AA185" i="7"/>
  <c r="V186" i="7"/>
  <c r="O186" i="7"/>
  <c r="R186" i="7"/>
  <c r="X185" i="7"/>
  <c r="N187" i="7"/>
  <c r="M186" i="7"/>
  <c r="Y186" i="7"/>
  <c r="Z186" i="7" l="1"/>
  <c r="W185" i="7"/>
  <c r="V187" i="7"/>
  <c r="AA186" i="7"/>
  <c r="X186" i="7"/>
  <c r="O187" i="7"/>
  <c r="Y187" i="7"/>
  <c r="T187" i="7"/>
  <c r="N188" i="7"/>
  <c r="M187" i="7"/>
  <c r="R187" i="7"/>
  <c r="Z187" i="7" l="1"/>
  <c r="W186" i="7"/>
  <c r="AA187" i="7"/>
  <c r="X187" i="7"/>
  <c r="Y188" i="7"/>
  <c r="R188" i="7"/>
  <c r="O188" i="7"/>
  <c r="T188" i="7"/>
  <c r="V188" i="7"/>
  <c r="N189" i="7"/>
  <c r="M188" i="7"/>
  <c r="Z188" i="7" l="1"/>
  <c r="X188" i="7" s="1"/>
  <c r="W187" i="7"/>
  <c r="AA188" i="7"/>
  <c r="T189" i="7"/>
  <c r="O189" i="7"/>
  <c r="V189" i="7"/>
  <c r="N190" i="7"/>
  <c r="M189" i="7"/>
  <c r="R189" i="7"/>
  <c r="Y189" i="7"/>
  <c r="Z189" i="7" l="1"/>
  <c r="X189" i="7" s="1"/>
  <c r="W188" i="7"/>
  <c r="AA189" i="7"/>
  <c r="O190" i="7"/>
  <c r="N191" i="7"/>
  <c r="M190" i="7"/>
  <c r="P190" i="7" s="1"/>
  <c r="P191" i="7" s="1"/>
  <c r="P192" i="7" s="1"/>
  <c r="P193" i="7" s="1"/>
  <c r="P194" i="7" s="1"/>
  <c r="P195" i="7" s="1"/>
  <c r="P196" i="7" s="1"/>
  <c r="P197" i="7" s="1"/>
  <c r="P198" i="7" s="1"/>
  <c r="P199" i="7" s="1"/>
  <c r="P200" i="7" s="1"/>
  <c r="P201" i="7" s="1"/>
  <c r="Y190" i="7"/>
  <c r="R190" i="7"/>
  <c r="V190" i="7"/>
  <c r="T190" i="7"/>
  <c r="T191" i="7" s="1"/>
  <c r="Z190" i="7" l="1"/>
  <c r="W189" i="7"/>
  <c r="V191" i="7"/>
  <c r="AA190" i="7"/>
  <c r="X190" i="7"/>
  <c r="R191" i="7"/>
  <c r="Y191" i="7"/>
  <c r="O191" i="7"/>
  <c r="N192" i="7"/>
  <c r="M191" i="7"/>
  <c r="Z191" i="7" l="1"/>
  <c r="V192" i="7"/>
  <c r="W190" i="7"/>
  <c r="AA191" i="7"/>
  <c r="X191" i="7"/>
  <c r="O192" i="7"/>
  <c r="N193" i="7"/>
  <c r="M192" i="7"/>
  <c r="T192" i="7"/>
  <c r="R192" i="7"/>
  <c r="Y192" i="7"/>
  <c r="Z192" i="7" l="1"/>
  <c r="X192" i="7" s="1"/>
  <c r="AA192" i="7"/>
  <c r="W191" i="7"/>
  <c r="R193" i="7"/>
  <c r="Y193" i="7"/>
  <c r="T193" i="7"/>
  <c r="O193" i="7"/>
  <c r="N194" i="7"/>
  <c r="M193" i="7"/>
  <c r="V193" i="7"/>
  <c r="Z193" i="7" l="1"/>
  <c r="AA193" i="7"/>
  <c r="W192" i="7"/>
  <c r="R194" i="7"/>
  <c r="X193" i="7"/>
  <c r="V194" i="7"/>
  <c r="T194" i="7"/>
  <c r="O194" i="7"/>
  <c r="N195" i="7"/>
  <c r="M194" i="7"/>
  <c r="Y194" i="7"/>
  <c r="Z194" i="7" l="1"/>
  <c r="X194" i="7" s="1"/>
  <c r="AA194" i="7"/>
  <c r="W193" i="7"/>
  <c r="N196" i="7"/>
  <c r="M195" i="7"/>
  <c r="T195" i="7"/>
  <c r="O195" i="7"/>
  <c r="Y195" i="7"/>
  <c r="R195" i="7"/>
  <c r="R196" i="7" s="1"/>
  <c r="V195" i="7"/>
  <c r="Z195" i="7" l="1"/>
  <c r="X195" i="7" s="1"/>
  <c r="AA195" i="7"/>
  <c r="W194" i="7"/>
  <c r="V196" i="7"/>
  <c r="T196" i="7"/>
  <c r="O196" i="7"/>
  <c r="N197" i="7"/>
  <c r="R197" i="7" s="1"/>
  <c r="Y196" i="7"/>
  <c r="M196" i="7"/>
  <c r="Z196" i="7" l="1"/>
  <c r="W195" i="7"/>
  <c r="AA196" i="7"/>
  <c r="X196" i="7"/>
  <c r="O197" i="7"/>
  <c r="Y197" i="7"/>
  <c r="N198" i="7"/>
  <c r="M197" i="7"/>
  <c r="T197" i="7"/>
  <c r="V197" i="7"/>
  <c r="Z197" i="7" l="1"/>
  <c r="X197" i="7" s="1"/>
  <c r="W196" i="7"/>
  <c r="AA197" i="7"/>
  <c r="N199" i="7"/>
  <c r="M198" i="7"/>
  <c r="V198" i="7"/>
  <c r="Y198" i="7"/>
  <c r="T198" i="7"/>
  <c r="O198" i="7"/>
  <c r="R198" i="7"/>
  <c r="Z198" i="7" l="1"/>
  <c r="X198" i="7" s="1"/>
  <c r="W197" i="7"/>
  <c r="AA198" i="7"/>
  <c r="T199" i="7"/>
  <c r="R199" i="7"/>
  <c r="V199" i="7"/>
  <c r="O199" i="7"/>
  <c r="Y199" i="7"/>
  <c r="N200" i="7"/>
  <c r="M199" i="7"/>
  <c r="Z199" i="7" l="1"/>
  <c r="X199" i="7" s="1"/>
  <c r="W198" i="7"/>
  <c r="AA199" i="7"/>
  <c r="Y200" i="7"/>
  <c r="N201" i="7"/>
  <c r="M200" i="7"/>
  <c r="V200" i="7"/>
  <c r="T200" i="7"/>
  <c r="O200" i="7"/>
  <c r="R200" i="7"/>
  <c r="R201" i="7" s="1"/>
  <c r="Z200" i="7" l="1"/>
  <c r="W199" i="7"/>
  <c r="AA200" i="7"/>
  <c r="X200" i="7"/>
  <c r="Y201" i="7"/>
  <c r="T201" i="7"/>
  <c r="O201" i="7"/>
  <c r="V201" i="7"/>
  <c r="N202" i="7"/>
  <c r="R202" i="7" s="1"/>
  <c r="M201" i="7"/>
  <c r="Z201" i="7" l="1"/>
  <c r="W200" i="7"/>
  <c r="AA201" i="7"/>
  <c r="X201" i="7"/>
  <c r="O202" i="7"/>
  <c r="V202" i="7"/>
  <c r="Y202" i="7"/>
  <c r="N203" i="7"/>
  <c r="M202" i="7"/>
  <c r="P202" i="7" s="1"/>
  <c r="P203" i="7" s="1"/>
  <c r="P204" i="7" s="1"/>
  <c r="P205" i="7" s="1"/>
  <c r="P206" i="7" s="1"/>
  <c r="P207" i="7" s="1"/>
  <c r="P208" i="7" s="1"/>
  <c r="P209" i="7" s="1"/>
  <c r="P210" i="7" s="1"/>
  <c r="P211" i="7" s="1"/>
  <c r="P212" i="7" s="1"/>
  <c r="P213" i="7" s="1"/>
  <c r="T202" i="7"/>
  <c r="Z202" i="7" l="1"/>
  <c r="X202" i="7" s="1"/>
  <c r="W201" i="7"/>
  <c r="AA202" i="7"/>
  <c r="M203" i="7"/>
  <c r="O203" i="7"/>
  <c r="T203" i="7"/>
  <c r="N204" i="7"/>
  <c r="V203" i="7"/>
  <c r="R203" i="7"/>
  <c r="Y203" i="7"/>
  <c r="Z203" i="7" l="1"/>
  <c r="X203" i="7" s="1"/>
  <c r="W202" i="7"/>
  <c r="AA203" i="7"/>
  <c r="O204" i="7"/>
  <c r="V204" i="7"/>
  <c r="T204" i="7"/>
  <c r="M204" i="7"/>
  <c r="R204" i="7"/>
  <c r="N205" i="7"/>
  <c r="Y204" i="7"/>
  <c r="Z204" i="7" l="1"/>
  <c r="W203" i="7"/>
  <c r="AA204" i="7"/>
  <c r="X204" i="7"/>
  <c r="Y205" i="7"/>
  <c r="O205" i="7"/>
  <c r="V205" i="7"/>
  <c r="T205" i="7"/>
  <c r="R205" i="7"/>
  <c r="N206" i="7"/>
  <c r="M205" i="7"/>
  <c r="Z205" i="7" l="1"/>
  <c r="W204" i="7"/>
  <c r="AA205" i="7"/>
  <c r="X205" i="7"/>
  <c r="M206" i="7"/>
  <c r="O206" i="7"/>
  <c r="R206" i="7"/>
  <c r="T206" i="7"/>
  <c r="V206" i="7"/>
  <c r="N207" i="7"/>
  <c r="Y206" i="7"/>
  <c r="Z206" i="7" l="1"/>
  <c r="W205" i="7"/>
  <c r="AA206" i="7"/>
  <c r="X206" i="7"/>
  <c r="Y207" i="7"/>
  <c r="M207" i="7"/>
  <c r="O207" i="7"/>
  <c r="R207" i="7"/>
  <c r="T207" i="7"/>
  <c r="V207" i="7"/>
  <c r="N208" i="7"/>
  <c r="Z207" i="7" l="1"/>
  <c r="W206" i="7"/>
  <c r="AA207" i="7"/>
  <c r="X207" i="7"/>
  <c r="O208" i="7"/>
  <c r="V208" i="7"/>
  <c r="T208" i="7"/>
  <c r="N209" i="7"/>
  <c r="R208" i="7"/>
  <c r="M208" i="7"/>
  <c r="Y208" i="7"/>
  <c r="Z208" i="7" l="1"/>
  <c r="W207" i="7"/>
  <c r="AA208" i="7"/>
  <c r="X208" i="7"/>
  <c r="T209" i="7"/>
  <c r="M209" i="7"/>
  <c r="R209" i="7"/>
  <c r="O209" i="7"/>
  <c r="V209" i="7"/>
  <c r="N210" i="7"/>
  <c r="Y209" i="7"/>
  <c r="Z209" i="7" l="1"/>
  <c r="W208" i="7"/>
  <c r="AA209" i="7"/>
  <c r="X209" i="7"/>
  <c r="Y210" i="7"/>
  <c r="M210" i="7"/>
  <c r="O210" i="7"/>
  <c r="R210" i="7"/>
  <c r="T210" i="7"/>
  <c r="V210" i="7"/>
  <c r="N211" i="7"/>
  <c r="Z210" i="7" l="1"/>
  <c r="X210" i="7" s="1"/>
  <c r="W209" i="7"/>
  <c r="AA210" i="7"/>
  <c r="Y211" i="7"/>
  <c r="N212" i="7"/>
  <c r="M211" i="7"/>
  <c r="O211" i="7"/>
  <c r="R211" i="7"/>
  <c r="T211" i="7"/>
  <c r="V211" i="7"/>
  <c r="Z211" i="7" l="1"/>
  <c r="W210" i="7"/>
  <c r="AA211" i="7"/>
  <c r="X211" i="7"/>
  <c r="T212" i="7"/>
  <c r="N213" i="7"/>
  <c r="M212" i="7"/>
  <c r="R212" i="7"/>
  <c r="O212" i="7"/>
  <c r="V212" i="7"/>
  <c r="Y212" i="7"/>
  <c r="Y213" i="7" s="1"/>
  <c r="Z212" i="7" l="1"/>
  <c r="W211" i="7"/>
  <c r="AA212" i="7"/>
  <c r="X212" i="7"/>
  <c r="N214" i="7"/>
  <c r="Y214" i="7" s="1"/>
  <c r="O213" i="7"/>
  <c r="M213" i="7"/>
  <c r="V213" i="7"/>
  <c r="T213" i="7"/>
  <c r="R213" i="7"/>
  <c r="Z213" i="7" l="1"/>
  <c r="W212" i="7"/>
  <c r="AA213" i="7"/>
  <c r="X213" i="7"/>
  <c r="N215" i="7"/>
  <c r="M214" i="7"/>
  <c r="P214" i="7" s="1"/>
  <c r="P215" i="7" s="1"/>
  <c r="P216" i="7" s="1"/>
  <c r="P217" i="7" s="1"/>
  <c r="P218" i="7" s="1"/>
  <c r="P219" i="7" s="1"/>
  <c r="P220" i="7" s="1"/>
  <c r="P221" i="7" s="1"/>
  <c r="P222" i="7" s="1"/>
  <c r="P223" i="7" s="1"/>
  <c r="P224" i="7" s="1"/>
  <c r="P225" i="7" s="1"/>
  <c r="O214" i="7"/>
  <c r="V214" i="7"/>
  <c r="T214" i="7"/>
  <c r="R214" i="7"/>
  <c r="Z214" i="7" l="1"/>
  <c r="X214" i="7" s="1"/>
  <c r="W213" i="7"/>
  <c r="AA214" i="7"/>
  <c r="R215" i="7"/>
  <c r="T215" i="7"/>
  <c r="V215" i="7"/>
  <c r="N216" i="7"/>
  <c r="M215" i="7"/>
  <c r="O215" i="7"/>
  <c r="Y215" i="7"/>
  <c r="Z215" i="7" l="1"/>
  <c r="W214" i="7"/>
  <c r="AA215" i="7"/>
  <c r="X215" i="7"/>
  <c r="T216" i="7"/>
  <c r="N217" i="7"/>
  <c r="M216" i="7"/>
  <c r="R216" i="7"/>
  <c r="O216" i="7"/>
  <c r="V216" i="7"/>
  <c r="Y216" i="7"/>
  <c r="Z216" i="7" l="1"/>
  <c r="W215" i="7"/>
  <c r="AA216" i="7"/>
  <c r="X216" i="7"/>
  <c r="Y217" i="7"/>
  <c r="M217" i="7"/>
  <c r="R217" i="7"/>
  <c r="V217" i="7"/>
  <c r="O217" i="7"/>
  <c r="T217" i="7"/>
  <c r="N218" i="7"/>
  <c r="Z217" i="7" l="1"/>
  <c r="W216" i="7"/>
  <c r="AA217" i="7"/>
  <c r="X217" i="7"/>
  <c r="M218" i="7"/>
  <c r="O218" i="7"/>
  <c r="R218" i="7"/>
  <c r="T218" i="7"/>
  <c r="V218" i="7"/>
  <c r="N219" i="7"/>
  <c r="Y218" i="7"/>
  <c r="Z218" i="7" l="1"/>
  <c r="X218" i="7" s="1"/>
  <c r="W217" i="7"/>
  <c r="AA218" i="7"/>
  <c r="Y219" i="7"/>
  <c r="O219" i="7"/>
  <c r="V219" i="7"/>
  <c r="N220" i="7"/>
  <c r="M219" i="7"/>
  <c r="T219" i="7"/>
  <c r="R219" i="7"/>
  <c r="Z219" i="7" l="1"/>
  <c r="X219" i="7" s="1"/>
  <c r="W218" i="7"/>
  <c r="AA219" i="7"/>
  <c r="N221" i="7"/>
  <c r="R220" i="7"/>
  <c r="M220" i="7"/>
  <c r="O220" i="7"/>
  <c r="V220" i="7"/>
  <c r="T220" i="7"/>
  <c r="Y220" i="7"/>
  <c r="Z220" i="7" l="1"/>
  <c r="W219" i="7"/>
  <c r="AA220" i="7"/>
  <c r="Y221" i="7"/>
  <c r="X220" i="7"/>
  <c r="N222" i="7"/>
  <c r="M221" i="7"/>
  <c r="T221" i="7"/>
  <c r="R221" i="7"/>
  <c r="O221" i="7"/>
  <c r="V221" i="7"/>
  <c r="Z221" i="7" l="1"/>
  <c r="W220" i="7"/>
  <c r="Y222" i="7"/>
  <c r="AA221" i="7"/>
  <c r="X221" i="7"/>
  <c r="R222" i="7"/>
  <c r="T222" i="7"/>
  <c r="V222" i="7"/>
  <c r="M222" i="7"/>
  <c r="O222" i="7"/>
  <c r="N223" i="7"/>
  <c r="Z222" i="7" l="1"/>
  <c r="W221" i="7"/>
  <c r="AA222" i="7"/>
  <c r="X222" i="7"/>
  <c r="V223" i="7"/>
  <c r="N224" i="7"/>
  <c r="M223" i="7"/>
  <c r="O223" i="7"/>
  <c r="R223" i="7"/>
  <c r="T223" i="7"/>
  <c r="Y223" i="7"/>
  <c r="Z223" i="7" l="1"/>
  <c r="W222" i="7"/>
  <c r="AA223" i="7"/>
  <c r="X223" i="7"/>
  <c r="R224" i="7"/>
  <c r="V224" i="7"/>
  <c r="N225" i="7"/>
  <c r="M224" i="7"/>
  <c r="O224" i="7"/>
  <c r="T224" i="7"/>
  <c r="Y224" i="7"/>
  <c r="Z224" i="7" l="1"/>
  <c r="X224" i="7" s="1"/>
  <c r="W223" i="7"/>
  <c r="AA224" i="7"/>
  <c r="Y225" i="7"/>
  <c r="V225" i="7"/>
  <c r="O225" i="7"/>
  <c r="N226" i="7"/>
  <c r="T225" i="7"/>
  <c r="M225" i="7"/>
  <c r="R225" i="7"/>
  <c r="Z225" i="7" l="1"/>
  <c r="X225" i="7" s="1"/>
  <c r="W224" i="7"/>
  <c r="AA225" i="7"/>
  <c r="Y226" i="7"/>
  <c r="R226" i="7"/>
  <c r="V226" i="7"/>
  <c r="M226" i="7"/>
  <c r="P226" i="7" s="1"/>
  <c r="P227" i="7" s="1"/>
  <c r="P228" i="7" s="1"/>
  <c r="P229" i="7" s="1"/>
  <c r="P230" i="7" s="1"/>
  <c r="P231" i="7" s="1"/>
  <c r="P232" i="7" s="1"/>
  <c r="P233" i="7" s="1"/>
  <c r="P234" i="7" s="1"/>
  <c r="P235" i="7" s="1"/>
  <c r="P236" i="7" s="1"/>
  <c r="P237" i="7" s="1"/>
  <c r="O226" i="7"/>
  <c r="T226" i="7"/>
  <c r="N227" i="7"/>
  <c r="Z226" i="7" l="1"/>
  <c r="W225" i="7"/>
  <c r="AA226" i="7"/>
  <c r="X226" i="7"/>
  <c r="V227" i="7"/>
  <c r="N228" i="7"/>
  <c r="T227" i="7"/>
  <c r="M227" i="7"/>
  <c r="O227" i="7"/>
  <c r="R227" i="7"/>
  <c r="Y227" i="7"/>
  <c r="Z227" i="7" l="1"/>
  <c r="W226" i="7"/>
  <c r="AA227" i="7"/>
  <c r="Y228" i="7"/>
  <c r="R228" i="7"/>
  <c r="T228" i="7"/>
  <c r="V228" i="7"/>
  <c r="M228" i="7"/>
  <c r="O228" i="7"/>
  <c r="N229" i="7"/>
  <c r="Z228" i="7" l="1"/>
  <c r="X227" i="7"/>
  <c r="AA228" i="7"/>
  <c r="W227" i="7"/>
  <c r="Y229" i="7"/>
  <c r="X228" i="7"/>
  <c r="N230" i="7"/>
  <c r="O229" i="7"/>
  <c r="M229" i="7"/>
  <c r="T229" i="7"/>
  <c r="R229" i="7"/>
  <c r="V229" i="7"/>
  <c r="Z229" i="7" l="1"/>
  <c r="AA229" i="7"/>
  <c r="W228" i="7"/>
  <c r="X229" i="7"/>
  <c r="O230" i="7"/>
  <c r="V230" i="7"/>
  <c r="T230" i="7"/>
  <c r="M230" i="7"/>
  <c r="R230" i="7"/>
  <c r="N231" i="7"/>
  <c r="Y230" i="7"/>
  <c r="Z230" i="7" l="1"/>
  <c r="AA230" i="7"/>
  <c r="W229" i="7"/>
  <c r="X230" i="7"/>
  <c r="R231" i="7"/>
  <c r="O231" i="7"/>
  <c r="V231" i="7"/>
  <c r="M231" i="7"/>
  <c r="T231" i="7"/>
  <c r="N232" i="7"/>
  <c r="Y231" i="7"/>
  <c r="Z231" i="7" l="1"/>
  <c r="AA231" i="7"/>
  <c r="W230" i="7"/>
  <c r="X231" i="7"/>
  <c r="R232" i="7"/>
  <c r="O232" i="7"/>
  <c r="M232" i="7"/>
  <c r="T232" i="7"/>
  <c r="V232" i="7"/>
  <c r="N233" i="7"/>
  <c r="Y232" i="7"/>
  <c r="Z232" i="7" l="1"/>
  <c r="AA232" i="7"/>
  <c r="W231" i="7"/>
  <c r="X232" i="7"/>
  <c r="O233" i="7"/>
  <c r="R233" i="7"/>
  <c r="T233" i="7"/>
  <c r="N234" i="7"/>
  <c r="M233" i="7"/>
  <c r="V233" i="7"/>
  <c r="Y233" i="7"/>
  <c r="Z233" i="7" l="1"/>
  <c r="AA233" i="7"/>
  <c r="X233" i="7"/>
  <c r="W232" i="7"/>
  <c r="Y234" i="7"/>
  <c r="R234" i="7"/>
  <c r="M234" i="7"/>
  <c r="O234" i="7"/>
  <c r="V234" i="7"/>
  <c r="N235" i="7"/>
  <c r="T234" i="7"/>
  <c r="Z234" i="7" l="1"/>
  <c r="W234" i="7" s="1"/>
  <c r="W233" i="7"/>
  <c r="AA234" i="7"/>
  <c r="N236" i="7"/>
  <c r="M235" i="7"/>
  <c r="O235" i="7"/>
  <c r="T235" i="7"/>
  <c r="R235" i="7"/>
  <c r="V235" i="7"/>
  <c r="Y235" i="7"/>
  <c r="Z235" i="7" l="1"/>
  <c r="W235" i="7" s="1"/>
  <c r="X234" i="7"/>
  <c r="AA235" i="7"/>
  <c r="N237" i="7"/>
  <c r="M236" i="7"/>
  <c r="O236" i="7"/>
  <c r="V236" i="7"/>
  <c r="R236" i="7"/>
  <c r="T236" i="7"/>
  <c r="Y236" i="7"/>
  <c r="Z236" i="7" l="1"/>
  <c r="W236" i="7" s="1"/>
  <c r="X235" i="7"/>
  <c r="AA236" i="7"/>
  <c r="Y237" i="7"/>
  <c r="T237" i="7"/>
  <c r="N238" i="7"/>
  <c r="O237" i="7"/>
  <c r="V237" i="7"/>
  <c r="R237" i="7"/>
  <c r="M237" i="7"/>
  <c r="Z237" i="7" l="1"/>
  <c r="X237" i="7" s="1"/>
  <c r="X236" i="7"/>
  <c r="AA237" i="7"/>
  <c r="R238" i="7"/>
  <c r="V238" i="7"/>
  <c r="M238" i="7"/>
  <c r="P238" i="7" s="1"/>
  <c r="P239" i="7" s="1"/>
  <c r="P240" i="7" s="1"/>
  <c r="P241" i="7" s="1"/>
  <c r="P242" i="7" s="1"/>
  <c r="P243" i="7" s="1"/>
  <c r="P244" i="7" s="1"/>
  <c r="P245" i="7" s="1"/>
  <c r="P246" i="7" s="1"/>
  <c r="P247" i="7" s="1"/>
  <c r="P248" i="7" s="1"/>
  <c r="P249" i="7" s="1"/>
  <c r="O238" i="7"/>
  <c r="T238" i="7"/>
  <c r="N239" i="7"/>
  <c r="Y238" i="7"/>
  <c r="Z238" i="7" l="1"/>
  <c r="X238" i="7" s="1"/>
  <c r="AA238" i="7"/>
  <c r="W237" i="7"/>
  <c r="Y239" i="7"/>
  <c r="V239" i="7"/>
  <c r="M239" i="7"/>
  <c r="R239" i="7"/>
  <c r="O239" i="7"/>
  <c r="N240" i="7"/>
  <c r="T239" i="7"/>
  <c r="Z239" i="7" l="1"/>
  <c r="W239" i="7" s="1"/>
  <c r="AA239" i="7"/>
  <c r="W238" i="7"/>
  <c r="Y240" i="7"/>
  <c r="N241" i="7"/>
  <c r="O240" i="7"/>
  <c r="V240" i="7"/>
  <c r="M240" i="7"/>
  <c r="R240" i="7"/>
  <c r="T240" i="7"/>
  <c r="Z240" i="7" l="1"/>
  <c r="AA240" i="7"/>
  <c r="X239" i="7"/>
  <c r="W240" i="7"/>
  <c r="M241" i="7"/>
  <c r="O241" i="7"/>
  <c r="N242" i="7"/>
  <c r="T241" i="7"/>
  <c r="R241" i="7"/>
  <c r="V241" i="7"/>
  <c r="Y241" i="7"/>
  <c r="Z241" i="7" l="1"/>
  <c r="AA241" i="7"/>
  <c r="X241" i="7"/>
  <c r="X240" i="7"/>
  <c r="Y242" i="7"/>
  <c r="R242" i="7"/>
  <c r="O242" i="7"/>
  <c r="V242" i="7"/>
  <c r="T242" i="7"/>
  <c r="M242" i="7"/>
  <c r="N243" i="7"/>
  <c r="Z242" i="7" l="1"/>
  <c r="W242" i="7" s="1"/>
  <c r="AA242" i="7"/>
  <c r="W241" i="7"/>
  <c r="R243" i="7"/>
  <c r="V243" i="7"/>
  <c r="N244" i="7"/>
  <c r="M243" i="7"/>
  <c r="T243" i="7"/>
  <c r="O243" i="7"/>
  <c r="Y243" i="7"/>
  <c r="Z243" i="7" l="1"/>
  <c r="X242" i="7"/>
  <c r="Y244" i="7"/>
  <c r="AA243" i="7"/>
  <c r="W243" i="7"/>
  <c r="X243" i="7"/>
  <c r="N245" i="7"/>
  <c r="M244" i="7"/>
  <c r="O244" i="7"/>
  <c r="T244" i="7"/>
  <c r="R244" i="7"/>
  <c r="V244" i="7"/>
  <c r="Z244" i="7" l="1"/>
  <c r="W244" i="7" s="1"/>
  <c r="Y245" i="7"/>
  <c r="X244" i="7"/>
  <c r="AA244" i="7"/>
  <c r="V245" i="7"/>
  <c r="M245" i="7"/>
  <c r="T245" i="7"/>
  <c r="N246" i="7"/>
  <c r="Y246" i="7" s="1"/>
  <c r="R245" i="7"/>
  <c r="O245" i="7"/>
  <c r="Z245" i="7" l="1"/>
  <c r="AA245" i="7"/>
  <c r="W245" i="7"/>
  <c r="X245" i="7"/>
  <c r="M246" i="7"/>
  <c r="R246" i="7"/>
  <c r="O246" i="7"/>
  <c r="V246" i="7"/>
  <c r="T246" i="7"/>
  <c r="N247" i="7"/>
  <c r="Z246" i="7" l="1"/>
  <c r="W246" i="7" s="1"/>
  <c r="AA246" i="7"/>
  <c r="R247" i="7"/>
  <c r="T247" i="7"/>
  <c r="V247" i="7"/>
  <c r="N248" i="7"/>
  <c r="M247" i="7"/>
  <c r="O247" i="7"/>
  <c r="Y247" i="7"/>
  <c r="X246" i="7" l="1"/>
  <c r="Z247" i="7"/>
  <c r="X247" i="7" s="1"/>
  <c r="AA247" i="7"/>
  <c r="W247" i="7"/>
  <c r="N249" i="7"/>
  <c r="M248" i="7"/>
  <c r="O248" i="7"/>
  <c r="R248" i="7"/>
  <c r="T248" i="7"/>
  <c r="V248" i="7"/>
  <c r="Y248" i="7"/>
  <c r="Z248" i="7" l="1"/>
  <c r="W248" i="7" s="1"/>
  <c r="AA248" i="7"/>
  <c r="X248" i="7"/>
  <c r="Y249" i="7"/>
  <c r="V249" i="7"/>
  <c r="N250" i="7"/>
  <c r="O249" i="7"/>
  <c r="R249" i="7"/>
  <c r="T249" i="7"/>
  <c r="M249" i="7"/>
  <c r="Z249" i="7" l="1"/>
  <c r="X249" i="7" s="1"/>
  <c r="AA249" i="7"/>
  <c r="Y250" i="7"/>
  <c r="M250" i="7"/>
  <c r="P250" i="7" s="1"/>
  <c r="P251" i="7" s="1"/>
  <c r="P252" i="7" s="1"/>
  <c r="P253" i="7" s="1"/>
  <c r="P254" i="7" s="1"/>
  <c r="P255" i="7" s="1"/>
  <c r="P256" i="7" s="1"/>
  <c r="P257" i="7" s="1"/>
  <c r="P258" i="7" s="1"/>
  <c r="P259" i="7" s="1"/>
  <c r="P260" i="7" s="1"/>
  <c r="P261" i="7" s="1"/>
  <c r="R250" i="7"/>
  <c r="V250" i="7"/>
  <c r="T250" i="7"/>
  <c r="N251" i="7"/>
  <c r="O250" i="7"/>
  <c r="Z250" i="7" l="1"/>
  <c r="AA250" i="7"/>
  <c r="W249" i="7"/>
  <c r="X250" i="7"/>
  <c r="N252" i="7"/>
  <c r="V251" i="7"/>
  <c r="M251" i="7"/>
  <c r="O251" i="7"/>
  <c r="R251" i="7"/>
  <c r="T251" i="7"/>
  <c r="Y251" i="7"/>
  <c r="Z251" i="7" l="1"/>
  <c r="AA251" i="7"/>
  <c r="W250" i="7"/>
  <c r="X251" i="7"/>
  <c r="Y252" i="7"/>
  <c r="N253" i="7"/>
  <c r="M252" i="7"/>
  <c r="V252" i="7"/>
  <c r="O252" i="7"/>
  <c r="R252" i="7"/>
  <c r="T252" i="7"/>
  <c r="Z252" i="7" l="1"/>
  <c r="AA252" i="7"/>
  <c r="W251" i="7"/>
  <c r="X252" i="7"/>
  <c r="Y253" i="7"/>
  <c r="M253" i="7"/>
  <c r="O253" i="7"/>
  <c r="V253" i="7"/>
  <c r="T253" i="7"/>
  <c r="R253" i="7"/>
  <c r="N254" i="7"/>
  <c r="Z253" i="7" l="1"/>
  <c r="X253" i="7" s="1"/>
  <c r="AA253" i="7"/>
  <c r="W252" i="7"/>
  <c r="Y254" i="7"/>
  <c r="R254" i="7"/>
  <c r="T254" i="7"/>
  <c r="V254" i="7"/>
  <c r="O254" i="7"/>
  <c r="M254" i="7"/>
  <c r="N255" i="7"/>
  <c r="Z254" i="7" l="1"/>
  <c r="W254" i="7" s="1"/>
  <c r="AA254" i="7"/>
  <c r="W253" i="7"/>
  <c r="R255" i="7"/>
  <c r="T255" i="7"/>
  <c r="M255" i="7"/>
  <c r="O255" i="7"/>
  <c r="V255" i="7"/>
  <c r="N256" i="7"/>
  <c r="Y255" i="7"/>
  <c r="Z255" i="7" l="1"/>
  <c r="AA255" i="7"/>
  <c r="W255" i="7"/>
  <c r="X254" i="7"/>
  <c r="M256" i="7"/>
  <c r="O256" i="7"/>
  <c r="V256" i="7"/>
  <c r="R256" i="7"/>
  <c r="T256" i="7"/>
  <c r="N257" i="7"/>
  <c r="Y256" i="7"/>
  <c r="Z256" i="7" l="1"/>
  <c r="W256" i="7" s="1"/>
  <c r="AA256" i="7"/>
  <c r="X255" i="7"/>
  <c r="N258" i="7"/>
  <c r="O257" i="7"/>
  <c r="R257" i="7"/>
  <c r="T257" i="7"/>
  <c r="V257" i="7"/>
  <c r="M257" i="7"/>
  <c r="Y257" i="7"/>
  <c r="Z257" i="7" l="1"/>
  <c r="AA257" i="7"/>
  <c r="X256" i="7"/>
  <c r="W257" i="7"/>
  <c r="Y258" i="7"/>
  <c r="R258" i="7"/>
  <c r="T258" i="7"/>
  <c r="V258" i="7"/>
  <c r="N259" i="7"/>
  <c r="M258" i="7"/>
  <c r="O258" i="7"/>
  <c r="Z258" i="7" l="1"/>
  <c r="X258" i="7" s="1"/>
  <c r="AA258" i="7"/>
  <c r="X257" i="7"/>
  <c r="R259" i="7"/>
  <c r="T259" i="7"/>
  <c r="M259" i="7"/>
  <c r="O259" i="7"/>
  <c r="V259" i="7"/>
  <c r="N260" i="7"/>
  <c r="Y259" i="7"/>
  <c r="Z259" i="7" l="1"/>
  <c r="X259" i="7" s="1"/>
  <c r="AA259" i="7"/>
  <c r="W258" i="7"/>
  <c r="Y260" i="7"/>
  <c r="O260" i="7"/>
  <c r="V260" i="7"/>
  <c r="T260" i="7"/>
  <c r="N261" i="7"/>
  <c r="R260" i="7"/>
  <c r="M260" i="7"/>
  <c r="Z260" i="7" l="1"/>
  <c r="X260" i="7" s="1"/>
  <c r="W259" i="7"/>
  <c r="AA260" i="7"/>
  <c r="N262" i="7"/>
  <c r="O261" i="7"/>
  <c r="R261" i="7"/>
  <c r="V261" i="7"/>
  <c r="M261" i="7"/>
  <c r="T261" i="7"/>
  <c r="Y261" i="7"/>
  <c r="Z261" i="7" l="1"/>
  <c r="X261" i="7" s="1"/>
  <c r="AA261" i="7"/>
  <c r="W260" i="7"/>
  <c r="Y262" i="7"/>
  <c r="N263" i="7"/>
  <c r="M262" i="7"/>
  <c r="P262" i="7" s="1"/>
  <c r="P263" i="7" s="1"/>
  <c r="P264" i="7" s="1"/>
  <c r="P265" i="7" s="1"/>
  <c r="P266" i="7" s="1"/>
  <c r="P267" i="7" s="1"/>
  <c r="P268" i="7" s="1"/>
  <c r="P269" i="7" s="1"/>
  <c r="P270" i="7" s="1"/>
  <c r="P271" i="7" s="1"/>
  <c r="P272" i="7" s="1"/>
  <c r="P273" i="7" s="1"/>
  <c r="P274" i="7" s="1"/>
  <c r="R262" i="7"/>
  <c r="T262" i="7"/>
  <c r="V262" i="7"/>
  <c r="O262" i="7"/>
  <c r="Z262" i="7" l="1"/>
  <c r="X262" i="7" s="1"/>
  <c r="AA262" i="7"/>
  <c r="W261" i="7"/>
  <c r="M263" i="7"/>
  <c r="R263" i="7"/>
  <c r="T263" i="7"/>
  <c r="N264" i="7"/>
  <c r="O263" i="7"/>
  <c r="V263" i="7"/>
  <c r="Y263" i="7"/>
  <c r="Z263" i="7" l="1"/>
  <c r="AA263" i="7"/>
  <c r="W262" i="7"/>
  <c r="X263" i="7"/>
  <c r="Y264" i="7"/>
  <c r="O264" i="7"/>
  <c r="V264" i="7"/>
  <c r="N265" i="7"/>
  <c r="R264" i="7"/>
  <c r="T264" i="7"/>
  <c r="M264" i="7"/>
  <c r="Z264" i="7" l="1"/>
  <c r="AA264" i="7"/>
  <c r="W263" i="7"/>
  <c r="X264" i="7"/>
  <c r="Y265" i="7"/>
  <c r="T265" i="7"/>
  <c r="V265" i="7"/>
  <c r="O265" i="7"/>
  <c r="N266" i="7"/>
  <c r="R265" i="7"/>
  <c r="M265" i="7"/>
  <c r="Z265" i="7" l="1"/>
  <c r="AA265" i="7"/>
  <c r="W264" i="7"/>
  <c r="X265" i="7"/>
  <c r="N267" i="7"/>
  <c r="M266" i="7"/>
  <c r="O266" i="7"/>
  <c r="R266" i="7"/>
  <c r="V266" i="7"/>
  <c r="T266" i="7"/>
  <c r="Y266" i="7"/>
  <c r="Z266" i="7" l="1"/>
  <c r="AA266" i="7"/>
  <c r="W265" i="7"/>
  <c r="X266" i="7"/>
  <c r="Y267" i="7"/>
  <c r="V267" i="7"/>
  <c r="N268" i="7"/>
  <c r="M267" i="7"/>
  <c r="T267" i="7"/>
  <c r="R267" i="7"/>
  <c r="O267" i="7"/>
  <c r="Z267" i="7" l="1"/>
  <c r="W267" i="7" s="1"/>
  <c r="AA267" i="7"/>
  <c r="W266" i="7"/>
  <c r="Y268" i="7"/>
  <c r="M268" i="7"/>
  <c r="R268" i="7"/>
  <c r="T268" i="7"/>
  <c r="N269" i="7"/>
  <c r="O268" i="7"/>
  <c r="V268" i="7"/>
  <c r="Z268" i="7" l="1"/>
  <c r="AA268" i="7"/>
  <c r="X267" i="7"/>
  <c r="W268" i="7"/>
  <c r="N270" i="7"/>
  <c r="T269" i="7"/>
  <c r="O269" i="7"/>
  <c r="V269" i="7"/>
  <c r="R269" i="7"/>
  <c r="M269" i="7"/>
  <c r="Y269" i="7"/>
  <c r="Z269" i="7" l="1"/>
  <c r="AA269" i="7"/>
  <c r="X268" i="7"/>
  <c r="W269" i="7"/>
  <c r="X269" i="7"/>
  <c r="Y270" i="7"/>
  <c r="N271" i="7"/>
  <c r="M270" i="7"/>
  <c r="O270" i="7"/>
  <c r="R270" i="7"/>
  <c r="T270" i="7"/>
  <c r="V270" i="7"/>
  <c r="Z270" i="7" l="1"/>
  <c r="W270" i="7" s="1"/>
  <c r="AA270" i="7"/>
  <c r="X270" i="7"/>
  <c r="Y271" i="7"/>
  <c r="T271" i="7"/>
  <c r="R271" i="7"/>
  <c r="V271" i="7"/>
  <c r="O271" i="7"/>
  <c r="N272" i="7"/>
  <c r="M271" i="7"/>
  <c r="Z271" i="7" l="1"/>
  <c r="W271" i="7" s="1"/>
  <c r="AA271" i="7"/>
  <c r="X271" i="7"/>
  <c r="M272" i="7"/>
  <c r="T272" i="7"/>
  <c r="R272" i="7"/>
  <c r="O272" i="7"/>
  <c r="V272" i="7"/>
  <c r="N273" i="7"/>
  <c r="Y272" i="7"/>
  <c r="Z272" i="7" l="1"/>
  <c r="W272" i="7" s="1"/>
  <c r="AA272" i="7"/>
  <c r="V273" i="7"/>
  <c r="T273" i="7"/>
  <c r="N274" i="7"/>
  <c r="O273" i="7"/>
  <c r="R273" i="7"/>
  <c r="M273" i="7"/>
  <c r="Y273" i="7"/>
  <c r="X272" i="7" l="1"/>
  <c r="Y274" i="7"/>
  <c r="Z273" i="7"/>
  <c r="AA273" i="7"/>
  <c r="AA274" i="7" s="1"/>
  <c r="U10" i="8"/>
  <c r="E56" i="7" s="1"/>
  <c r="P10" i="8"/>
  <c r="R10" i="8"/>
  <c r="R274" i="7"/>
  <c r="O274" i="7"/>
  <c r="V274" i="7"/>
  <c r="M274" i="7"/>
  <c r="T274" i="7"/>
  <c r="D10" i="8"/>
  <c r="C10" i="8"/>
  <c r="B10" i="8"/>
  <c r="Z274" i="7" l="1"/>
  <c r="X273" i="7"/>
  <c r="Y10" i="8"/>
  <c r="F39" i="7" s="1"/>
  <c r="G10" i="8"/>
  <c r="J10" i="8"/>
  <c r="X10" i="8"/>
  <c r="W273" i="7"/>
  <c r="J22" i="7"/>
  <c r="X274" i="7"/>
  <c r="AC10" i="8"/>
  <c r="AI10" i="8"/>
  <c r="AH10" i="8"/>
  <c r="AG10" i="8"/>
  <c r="C11" i="8"/>
  <c r="Y11" i="8" s="1"/>
  <c r="AD10" i="8"/>
  <c r="I10" i="8" l="1"/>
  <c r="F206" i="7"/>
  <c r="F207" i="7" s="1"/>
  <c r="F208" i="7" s="1"/>
  <c r="F209" i="7" s="1"/>
  <c r="F210" i="7" s="1"/>
  <c r="F211" i="7" s="1"/>
  <c r="F212" i="7" s="1"/>
  <c r="F213" i="7" s="1"/>
  <c r="F214" i="7" s="1"/>
  <c r="F215" i="7" s="1"/>
  <c r="F216" i="7" s="1"/>
  <c r="F217" i="7" s="1"/>
  <c r="F218" i="7" s="1"/>
  <c r="F219" i="7" s="1"/>
  <c r="F220" i="7" s="1"/>
  <c r="F221" i="7" s="1"/>
  <c r="F222" i="7" s="1"/>
  <c r="F223" i="7" s="1"/>
  <c r="F224" i="7" s="1"/>
  <c r="F225" i="7" s="1"/>
  <c r="F226" i="7" s="1"/>
  <c r="F227" i="7" s="1"/>
  <c r="F228" i="7" s="1"/>
  <c r="F229" i="7" s="1"/>
  <c r="F230" i="7" s="1"/>
  <c r="F231" i="7" s="1"/>
  <c r="F232" i="7" s="1"/>
  <c r="F233" i="7" s="1"/>
  <c r="F234" i="7" s="1"/>
  <c r="F235" i="7" s="1"/>
  <c r="F236" i="7" s="1"/>
  <c r="F237" i="7" s="1"/>
  <c r="F238" i="7" s="1"/>
  <c r="F239" i="7" s="1"/>
  <c r="F240" i="7" s="1"/>
  <c r="F241" i="7" s="1"/>
  <c r="F242" i="7" s="1"/>
  <c r="F243" i="7" s="1"/>
  <c r="F244" i="7" s="1"/>
  <c r="F245" i="7" s="1"/>
  <c r="F246" i="7" s="1"/>
  <c r="F247" i="7" s="1"/>
  <c r="F248" i="7" s="1"/>
  <c r="F249" i="7" s="1"/>
  <c r="F250" i="7" s="1"/>
  <c r="F251" i="7" s="1"/>
  <c r="F252" i="7" s="1"/>
  <c r="F253" i="7" s="1"/>
  <c r="F254" i="7" s="1"/>
  <c r="F255" i="7" s="1"/>
  <c r="F256" i="7" s="1"/>
  <c r="F257" i="7" s="1"/>
  <c r="F258" i="7" s="1"/>
  <c r="F259" i="7" s="1"/>
  <c r="F260" i="7" s="1"/>
  <c r="F261" i="7" s="1"/>
  <c r="F262" i="7" s="1"/>
  <c r="F263" i="7" s="1"/>
  <c r="F264" i="7" s="1"/>
  <c r="AO10" i="8"/>
  <c r="W274" i="7"/>
  <c r="AN10" i="8"/>
  <c r="Q10" i="8"/>
  <c r="P11" i="8" s="1"/>
  <c r="C12" i="8"/>
  <c r="Y12" i="8" s="1"/>
  <c r="B11" i="8"/>
  <c r="G11" i="8" s="1"/>
  <c r="S10" i="8"/>
  <c r="F10" i="8" l="1"/>
  <c r="F11" i="8" s="1"/>
  <c r="L10" i="8"/>
  <c r="X11" i="8"/>
  <c r="A11" i="8"/>
  <c r="AD11" i="8"/>
  <c r="C13" i="8"/>
  <c r="Y13" i="8" s="1"/>
  <c r="B12" i="8"/>
  <c r="G12" i="8" s="1"/>
  <c r="AC11" i="8"/>
  <c r="AI11" i="8"/>
  <c r="AH11" i="8"/>
  <c r="AG11" i="8"/>
  <c r="AJ10" i="8"/>
  <c r="J27" i="7" l="1"/>
  <c r="H11" i="8"/>
  <c r="M10" i="8"/>
  <c r="W10" i="8"/>
  <c r="AO11" i="8"/>
  <c r="X12" i="8"/>
  <c r="AN11" i="8"/>
  <c r="C14" i="8"/>
  <c r="Y14" i="8" s="1"/>
  <c r="AC12" i="8"/>
  <c r="A12" i="8"/>
  <c r="B13" i="8"/>
  <c r="G13" i="8" s="1"/>
  <c r="Q11" i="8"/>
  <c r="P12" i="8" s="1"/>
  <c r="AG12" i="8"/>
  <c r="AI12" i="8"/>
  <c r="AH12" i="8"/>
  <c r="AD12" i="8"/>
  <c r="I11" i="8" l="1"/>
  <c r="V10" i="8"/>
  <c r="L11" i="8"/>
  <c r="F40" i="7"/>
  <c r="F41" i="7"/>
  <c r="AO12" i="8"/>
  <c r="X13" i="8"/>
  <c r="AN12" i="8"/>
  <c r="B14" i="8"/>
  <c r="G14" i="8" s="1"/>
  <c r="C15" i="8"/>
  <c r="Y15" i="8" s="1"/>
  <c r="A13" i="8"/>
  <c r="AG13" i="8"/>
  <c r="AD13" i="8"/>
  <c r="AH13" i="8"/>
  <c r="AC13" i="8"/>
  <c r="Q12" i="8"/>
  <c r="P13" i="8" s="1"/>
  <c r="AI13" i="8"/>
  <c r="AO13" i="8" l="1"/>
  <c r="AN13" i="8"/>
  <c r="X14" i="8"/>
  <c r="AG14" i="8"/>
  <c r="AH14" i="8"/>
  <c r="AD14" i="8"/>
  <c r="C16" i="8"/>
  <c r="Y16" i="8" s="1"/>
  <c r="AC14" i="8"/>
  <c r="AI14" i="8"/>
  <c r="B15" i="8"/>
  <c r="G15" i="8" s="1"/>
  <c r="A14" i="8"/>
  <c r="Q13" i="8"/>
  <c r="P14" i="8" s="1"/>
  <c r="F12" i="8" l="1"/>
  <c r="H12" i="8" s="1"/>
  <c r="AO14" i="8"/>
  <c r="X15" i="8"/>
  <c r="AN14" i="8"/>
  <c r="Q14" i="8"/>
  <c r="P15" i="8" s="1"/>
  <c r="C17" i="8"/>
  <c r="Y17" i="8" s="1"/>
  <c r="B16" i="8"/>
  <c r="G16" i="8" s="1"/>
  <c r="AH15" i="8"/>
  <c r="AD15" i="8"/>
  <c r="A15" i="8"/>
  <c r="AC15" i="8"/>
  <c r="AG15" i="8"/>
  <c r="AI15" i="8"/>
  <c r="I12" i="8" l="1"/>
  <c r="F13" i="8"/>
  <c r="H13" i="8" s="1"/>
  <c r="AO15" i="8"/>
  <c r="C18" i="8"/>
  <c r="Y18" i="8" s="1"/>
  <c r="AN15" i="8"/>
  <c r="AG16" i="8"/>
  <c r="X16" i="8"/>
  <c r="B17" i="8"/>
  <c r="G17" i="8" s="1"/>
  <c r="Q15" i="8"/>
  <c r="P16" i="8" s="1"/>
  <c r="AH16" i="8"/>
  <c r="AD16" i="8"/>
  <c r="AI16" i="8"/>
  <c r="A16" i="8"/>
  <c r="AC16" i="8"/>
  <c r="I13" i="8" l="1"/>
  <c r="AG17" i="8"/>
  <c r="F14" i="8"/>
  <c r="AO16" i="8"/>
  <c r="B18" i="8"/>
  <c r="G18" i="8" s="1"/>
  <c r="C19" i="8"/>
  <c r="Y19" i="8" s="1"/>
  <c r="AC17" i="8"/>
  <c r="AD17" i="8"/>
  <c r="AI17" i="8"/>
  <c r="AH17" i="8"/>
  <c r="X17" i="8"/>
  <c r="A17" i="8"/>
  <c r="Q16" i="8"/>
  <c r="P17" i="8" s="1"/>
  <c r="H14" i="8" l="1"/>
  <c r="X18" i="8"/>
  <c r="F15" i="8"/>
  <c r="AD18" i="8"/>
  <c r="B19" i="8"/>
  <c r="G19" i="8" s="1"/>
  <c r="C20" i="8"/>
  <c r="Y20" i="8" s="1"/>
  <c r="AC18" i="8"/>
  <c r="AO17" i="8"/>
  <c r="AI18" i="8"/>
  <c r="AG18" i="8"/>
  <c r="AH18" i="8"/>
  <c r="Q17" i="8"/>
  <c r="P18" i="8" s="1"/>
  <c r="A18" i="8"/>
  <c r="H15" i="8" l="1"/>
  <c r="I15" i="8" s="1"/>
  <c r="I14" i="8"/>
  <c r="X19" i="8"/>
  <c r="F16" i="8"/>
  <c r="AD19" i="8"/>
  <c r="AI19" i="8"/>
  <c r="C21" i="8"/>
  <c r="A19" i="8"/>
  <c r="AC19" i="8"/>
  <c r="B20" i="8"/>
  <c r="G20" i="8" s="1"/>
  <c r="AG19" i="8"/>
  <c r="AH19" i="8"/>
  <c r="Q18" i="8"/>
  <c r="P19" i="8" s="1"/>
  <c r="AO18" i="8"/>
  <c r="H16" i="8" l="1"/>
  <c r="I16" i="8" s="1"/>
  <c r="Y21" i="8"/>
  <c r="AH20" i="8"/>
  <c r="Q19" i="8"/>
  <c r="P20" i="8" s="1"/>
  <c r="B21" i="8"/>
  <c r="G21" i="8" s="1"/>
  <c r="C22" i="8"/>
  <c r="AA22" i="8" s="1"/>
  <c r="A20" i="8"/>
  <c r="AO19" i="8"/>
  <c r="AD20" i="8"/>
  <c r="AG20" i="8"/>
  <c r="AI20" i="8"/>
  <c r="X20" i="8"/>
  <c r="AC20" i="8"/>
  <c r="AN16" i="8"/>
  <c r="C23" i="8" l="1"/>
  <c r="AA23" i="8" s="1"/>
  <c r="Q20" i="8"/>
  <c r="P21" i="8" s="1"/>
  <c r="F17" i="8"/>
  <c r="H17" i="8" s="1"/>
  <c r="A21" i="8"/>
  <c r="Y22" i="8"/>
  <c r="AI21" i="8"/>
  <c r="AC21" i="8"/>
  <c r="AH21" i="8"/>
  <c r="X21" i="8"/>
  <c r="AD21" i="8"/>
  <c r="AG21" i="8"/>
  <c r="B22" i="8"/>
  <c r="G22" i="8" s="1"/>
  <c r="AO20" i="8"/>
  <c r="AN17" i="8"/>
  <c r="B23" i="8"/>
  <c r="G23" i="8" s="1"/>
  <c r="C24" i="8"/>
  <c r="AA24" i="8" l="1"/>
  <c r="I17" i="8"/>
  <c r="Y23" i="8"/>
  <c r="AG22" i="8"/>
  <c r="F18" i="8"/>
  <c r="H18" i="8" s="1"/>
  <c r="Q21" i="8"/>
  <c r="P22" i="8" s="1"/>
  <c r="AO21" i="8"/>
  <c r="Y24" i="8"/>
  <c r="AC22" i="8"/>
  <c r="AD22" i="8"/>
  <c r="X22" i="8"/>
  <c r="AI22" i="8"/>
  <c r="A22" i="8"/>
  <c r="A23" i="8" s="1"/>
  <c r="AH22" i="8"/>
  <c r="AN18" i="8"/>
  <c r="X23" i="8"/>
  <c r="AI23" i="8"/>
  <c r="AG23" i="8"/>
  <c r="AH23" i="8"/>
  <c r="B24" i="8"/>
  <c r="G24" i="8" s="1"/>
  <c r="C25" i="8"/>
  <c r="AD23" i="8"/>
  <c r="AC23" i="8"/>
  <c r="AA25" i="8" l="1"/>
  <c r="I18" i="8"/>
  <c r="F19" i="8"/>
  <c r="H19" i="8" s="1"/>
  <c r="AO22" i="8"/>
  <c r="Q22" i="8"/>
  <c r="P23" i="8" s="1"/>
  <c r="Q23" i="8" s="1"/>
  <c r="P24" i="8" s="1"/>
  <c r="Y25" i="8"/>
  <c r="AO23" i="8"/>
  <c r="AN20" i="8"/>
  <c r="AN19" i="8"/>
  <c r="X24" i="8"/>
  <c r="A24" i="8"/>
  <c r="AI24" i="8"/>
  <c r="AG24" i="8"/>
  <c r="AH24" i="8"/>
  <c r="C26" i="8"/>
  <c r="B25" i="8"/>
  <c r="G25" i="8" s="1"/>
  <c r="AD24" i="8"/>
  <c r="AC24" i="8"/>
  <c r="AA26" i="8" l="1"/>
  <c r="I19" i="8"/>
  <c r="Y26" i="8"/>
  <c r="AO24" i="8"/>
  <c r="X25" i="8"/>
  <c r="Q24" i="8"/>
  <c r="P25" i="8" s="1"/>
  <c r="A25" i="8"/>
  <c r="AG25" i="8"/>
  <c r="AH25" i="8"/>
  <c r="AI25" i="8"/>
  <c r="AD25" i="8"/>
  <c r="AC25" i="8"/>
  <c r="C27" i="8"/>
  <c r="B26" i="8"/>
  <c r="G26" i="8" s="1"/>
  <c r="AA27" i="8" l="1"/>
  <c r="F20" i="8"/>
  <c r="Y27" i="8"/>
  <c r="AO25" i="8"/>
  <c r="X26" i="8"/>
  <c r="A26" i="8"/>
  <c r="Q25" i="8"/>
  <c r="P26" i="8" s="1"/>
  <c r="AH26" i="8"/>
  <c r="AI26" i="8"/>
  <c r="AG26" i="8"/>
  <c r="C28" i="8"/>
  <c r="B27" i="8"/>
  <c r="G27" i="8" s="1"/>
  <c r="AD26" i="8"/>
  <c r="AC26" i="8"/>
  <c r="H20" i="8" l="1"/>
  <c r="I20" i="8" s="1"/>
  <c r="AA28" i="8"/>
  <c r="Y28" i="8"/>
  <c r="AO26" i="8"/>
  <c r="X27" i="8"/>
  <c r="Q26" i="8"/>
  <c r="P27" i="8" s="1"/>
  <c r="A27" i="8"/>
  <c r="AI27" i="8"/>
  <c r="AG27" i="8"/>
  <c r="AH27" i="8"/>
  <c r="AD27" i="8"/>
  <c r="AC27" i="8"/>
  <c r="C29" i="8"/>
  <c r="B28" i="8"/>
  <c r="G28" i="8" s="1"/>
  <c r="AA29" i="8" l="1"/>
  <c r="F21" i="8"/>
  <c r="I21" i="8" s="1"/>
  <c r="Y29" i="8"/>
  <c r="AO27" i="8"/>
  <c r="X28" i="8"/>
  <c r="Q27" i="8"/>
  <c r="P28" i="8" s="1"/>
  <c r="A28" i="8"/>
  <c r="AH28" i="8"/>
  <c r="AI28" i="8"/>
  <c r="AG28" i="8"/>
  <c r="AD28" i="8"/>
  <c r="AC28" i="8"/>
  <c r="B29" i="8"/>
  <c r="G29" i="8" s="1"/>
  <c r="C30" i="8"/>
  <c r="AA30" i="8" l="1"/>
  <c r="F22" i="8"/>
  <c r="Y30" i="8"/>
  <c r="AO28" i="8"/>
  <c r="X29" i="8"/>
  <c r="Q28" i="8"/>
  <c r="P29" i="8" s="1"/>
  <c r="A29" i="8"/>
  <c r="AG29" i="8"/>
  <c r="AH29" i="8"/>
  <c r="AI29" i="8"/>
  <c r="B30" i="8"/>
  <c r="G30" i="8" s="1"/>
  <c r="C31" i="8"/>
  <c r="AD29" i="8"/>
  <c r="AC29" i="8"/>
  <c r="H22" i="8" l="1"/>
  <c r="AA31" i="8"/>
  <c r="Y31" i="8"/>
  <c r="AO29" i="8"/>
  <c r="AN21" i="8"/>
  <c r="X30" i="8"/>
  <c r="Q29" i="8"/>
  <c r="P30" i="8" s="1"/>
  <c r="A30" i="8"/>
  <c r="AH30" i="8"/>
  <c r="AG30" i="8"/>
  <c r="AI30" i="8"/>
  <c r="B31" i="8"/>
  <c r="G31" i="8" s="1"/>
  <c r="C32" i="8"/>
  <c r="AC30" i="8"/>
  <c r="AD30" i="8"/>
  <c r="I22" i="8" l="1"/>
  <c r="AA32" i="8"/>
  <c r="Y32" i="8"/>
  <c r="AO30" i="8"/>
  <c r="X31" i="8"/>
  <c r="Q30" i="8"/>
  <c r="P31" i="8" s="1"/>
  <c r="A31" i="8"/>
  <c r="AI31" i="8"/>
  <c r="AG31" i="8"/>
  <c r="AH31" i="8"/>
  <c r="B32" i="8"/>
  <c r="G32" i="8" s="1"/>
  <c r="C33" i="8"/>
  <c r="AD31" i="8"/>
  <c r="AC31" i="8"/>
  <c r="Y33" i="8" l="1"/>
  <c r="AO31" i="8"/>
  <c r="X32" i="8"/>
  <c r="A32" i="8"/>
  <c r="Q31" i="8"/>
  <c r="P32" i="8" s="1"/>
  <c r="AG32" i="8"/>
  <c r="AH32" i="8"/>
  <c r="AI32" i="8"/>
  <c r="B33" i="8"/>
  <c r="G33" i="8" s="1"/>
  <c r="C34" i="8"/>
  <c r="Y34" i="8" s="1"/>
  <c r="AD32" i="8"/>
  <c r="AC32" i="8"/>
  <c r="AO32" i="8" l="1"/>
  <c r="X33" i="8"/>
  <c r="Q32" i="8"/>
  <c r="P33" i="8" s="1"/>
  <c r="A33" i="8"/>
  <c r="AG33" i="8"/>
  <c r="AI33" i="8"/>
  <c r="AH33" i="8"/>
  <c r="C35" i="8"/>
  <c r="Y35" i="8" s="1"/>
  <c r="B34" i="8"/>
  <c r="G34" i="8" s="1"/>
  <c r="AD33" i="8"/>
  <c r="AC33" i="8"/>
  <c r="AO33" i="8" l="1"/>
  <c r="X34" i="8"/>
  <c r="Q33" i="8"/>
  <c r="P34" i="8" s="1"/>
  <c r="A34" i="8"/>
  <c r="AH34" i="8"/>
  <c r="AG34" i="8"/>
  <c r="AI34" i="8"/>
  <c r="AD34" i="8"/>
  <c r="AC34" i="8"/>
  <c r="C36" i="8"/>
  <c r="Y36" i="8" s="1"/>
  <c r="B35" i="8"/>
  <c r="G35" i="8" s="1"/>
  <c r="AO34" i="8" l="1"/>
  <c r="X35" i="8"/>
  <c r="A35" i="8"/>
  <c r="Q34" i="8"/>
  <c r="P35" i="8" s="1"/>
  <c r="AI35" i="8"/>
  <c r="AH35" i="8"/>
  <c r="AG35" i="8"/>
  <c r="AC35" i="8"/>
  <c r="AD35" i="8"/>
  <c r="B36" i="8"/>
  <c r="G36" i="8" s="1"/>
  <c r="C37" i="8"/>
  <c r="Y37" i="8" s="1"/>
  <c r="AO35" i="8" l="1"/>
  <c r="X36" i="8"/>
  <c r="Q35" i="8"/>
  <c r="P36" i="8" s="1"/>
  <c r="A36" i="8"/>
  <c r="AG36" i="8"/>
  <c r="AH36" i="8"/>
  <c r="AI36" i="8"/>
  <c r="C38" i="8"/>
  <c r="Y38" i="8" s="1"/>
  <c r="B37" i="8"/>
  <c r="G37" i="8" s="1"/>
  <c r="AD36" i="8"/>
  <c r="AC36" i="8"/>
  <c r="AO36" i="8" l="1"/>
  <c r="X37" i="8"/>
  <c r="Q36" i="8"/>
  <c r="P37" i="8" s="1"/>
  <c r="A37" i="8"/>
  <c r="AG37" i="8"/>
  <c r="AH37" i="8"/>
  <c r="AI37" i="8"/>
  <c r="AD37" i="8"/>
  <c r="AC37" i="8"/>
  <c r="C39" i="8"/>
  <c r="Y39" i="8" s="1"/>
  <c r="B38" i="8"/>
  <c r="G38" i="8" s="1"/>
  <c r="AO37" i="8" l="1"/>
  <c r="X38" i="8"/>
  <c r="Q37" i="8"/>
  <c r="P38" i="8" s="1"/>
  <c r="A38" i="8"/>
  <c r="AH38" i="8"/>
  <c r="AG38" i="8"/>
  <c r="AI38" i="8"/>
  <c r="AD38" i="8"/>
  <c r="AC38" i="8"/>
  <c r="C40" i="8"/>
  <c r="Y40" i="8" s="1"/>
  <c r="B39" i="8"/>
  <c r="G39" i="8" s="1"/>
  <c r="AO38" i="8" l="1"/>
  <c r="X39" i="8"/>
  <c r="Q38" i="8"/>
  <c r="P39" i="8" s="1"/>
  <c r="A39" i="8"/>
  <c r="AI39" i="8"/>
  <c r="AG39" i="8"/>
  <c r="AH39" i="8"/>
  <c r="AD39" i="8"/>
  <c r="AC39" i="8"/>
  <c r="C41" i="8"/>
  <c r="Y41" i="8" s="1"/>
  <c r="B40" i="8"/>
  <c r="G40" i="8" s="1"/>
  <c r="AO39" i="8" l="1"/>
  <c r="X40" i="8"/>
  <c r="A40" i="8"/>
  <c r="Q39" i="8"/>
  <c r="P40" i="8" s="1"/>
  <c r="AI40" i="8"/>
  <c r="AG40" i="8"/>
  <c r="AH40" i="8"/>
  <c r="B41" i="8"/>
  <c r="G41" i="8" s="1"/>
  <c r="C42" i="8"/>
  <c r="Y42" i="8" s="1"/>
  <c r="AD40" i="8"/>
  <c r="AC40" i="8"/>
  <c r="AO40" i="8" l="1"/>
  <c r="X41" i="8"/>
  <c r="Q40" i="8"/>
  <c r="P41" i="8" s="1"/>
  <c r="A41" i="8"/>
  <c r="AG41" i="8"/>
  <c r="AH41" i="8"/>
  <c r="AI41" i="8"/>
  <c r="B42" i="8"/>
  <c r="G42" i="8" s="1"/>
  <c r="C43" i="8"/>
  <c r="Y43" i="8" s="1"/>
  <c r="AD41" i="8"/>
  <c r="AC41" i="8"/>
  <c r="AO41" i="8" l="1"/>
  <c r="X42" i="8"/>
  <c r="Q41" i="8"/>
  <c r="P42" i="8" s="1"/>
  <c r="A42" i="8"/>
  <c r="AH42" i="8"/>
  <c r="AI42" i="8"/>
  <c r="AG42" i="8"/>
  <c r="B43" i="8"/>
  <c r="C44" i="8"/>
  <c r="Y44" i="8" s="1"/>
  <c r="AD42" i="8"/>
  <c r="AC42" i="8"/>
  <c r="AO42" i="8" l="1"/>
  <c r="X43" i="8"/>
  <c r="Q42" i="8"/>
  <c r="P43" i="8" s="1"/>
  <c r="A43" i="8"/>
  <c r="AI43" i="8"/>
  <c r="AG43" i="8"/>
  <c r="AH43" i="8"/>
  <c r="C45" i="8"/>
  <c r="B44" i="8"/>
  <c r="AD43" i="8"/>
  <c r="AC43" i="8"/>
  <c r="Y45" i="8" l="1"/>
  <c r="AO43" i="8"/>
  <c r="X44" i="8"/>
  <c r="Q43" i="8"/>
  <c r="P44" i="8" s="1"/>
  <c r="A44" i="8"/>
  <c r="AH44" i="8"/>
  <c r="AI44" i="8"/>
  <c r="AG44" i="8"/>
  <c r="AD44" i="8"/>
  <c r="AC44" i="8"/>
  <c r="B45" i="8"/>
  <c r="C46" i="8"/>
  <c r="Y46" i="8" s="1"/>
  <c r="AO44" i="8" l="1"/>
  <c r="X45" i="8"/>
  <c r="A45" i="8"/>
  <c r="Q44" i="8"/>
  <c r="P45" i="8" s="1"/>
  <c r="AG45" i="8"/>
  <c r="AH45" i="8"/>
  <c r="AI45" i="8"/>
  <c r="B46" i="8"/>
  <c r="C47" i="8"/>
  <c r="Y47" i="8" s="1"/>
  <c r="AD45" i="8"/>
  <c r="AC45" i="8"/>
  <c r="AO45" i="8" l="1"/>
  <c r="X46" i="8"/>
  <c r="Q45" i="8"/>
  <c r="P46" i="8" s="1"/>
  <c r="A46" i="8"/>
  <c r="AH46" i="8"/>
  <c r="AG46" i="8"/>
  <c r="AI46" i="8"/>
  <c r="B47" i="8"/>
  <c r="C48" i="8"/>
  <c r="Y48" i="8" s="1"/>
  <c r="AC46" i="8"/>
  <c r="AD46" i="8"/>
  <c r="AO46" i="8" l="1"/>
  <c r="X47" i="8"/>
  <c r="A47" i="8"/>
  <c r="Q46" i="8"/>
  <c r="P47" i="8" s="1"/>
  <c r="AI47" i="8"/>
  <c r="AG47" i="8"/>
  <c r="AH47" i="8"/>
  <c r="B48" i="8"/>
  <c r="C49" i="8"/>
  <c r="Y49" i="8" s="1"/>
  <c r="AD47" i="8"/>
  <c r="AC47" i="8"/>
  <c r="AO47" i="8" l="1"/>
  <c r="X48" i="8"/>
  <c r="A48" i="8"/>
  <c r="Q47" i="8"/>
  <c r="P48" i="8" s="1"/>
  <c r="AG48" i="8"/>
  <c r="AH48" i="8"/>
  <c r="AI48" i="8"/>
  <c r="B49" i="8"/>
  <c r="C50" i="8"/>
  <c r="Y50" i="8" s="1"/>
  <c r="AD48" i="8"/>
  <c r="AC48" i="8"/>
  <c r="AO48" i="8" l="1"/>
  <c r="X49" i="8"/>
  <c r="A49" i="8"/>
  <c r="Q48" i="8"/>
  <c r="P49" i="8" s="1"/>
  <c r="AG49" i="8"/>
  <c r="AI49" i="8"/>
  <c r="AH49" i="8"/>
  <c r="B50" i="8"/>
  <c r="C51" i="8"/>
  <c r="Y51" i="8" s="1"/>
  <c r="AD49" i="8"/>
  <c r="AC49" i="8"/>
  <c r="AO49" i="8" l="1"/>
  <c r="X50" i="8"/>
  <c r="Q49" i="8"/>
  <c r="P50" i="8" s="1"/>
  <c r="A50" i="8"/>
  <c r="AH50" i="8"/>
  <c r="AG50" i="8"/>
  <c r="AI50" i="8"/>
  <c r="B51" i="8"/>
  <c r="C52" i="8"/>
  <c r="Y52" i="8" s="1"/>
  <c r="AD50" i="8"/>
  <c r="AC50" i="8"/>
  <c r="AO50" i="8" l="1"/>
  <c r="Q50" i="8"/>
  <c r="P51" i="8" s="1"/>
  <c r="X51" i="8"/>
  <c r="A51" i="8"/>
  <c r="AI51" i="8"/>
  <c r="AH51" i="8"/>
  <c r="AG51" i="8"/>
  <c r="B52" i="8"/>
  <c r="C53" i="8"/>
  <c r="Y53" i="8" s="1"/>
  <c r="AC51" i="8"/>
  <c r="AD51" i="8"/>
  <c r="AO51" i="8" l="1"/>
  <c r="X52" i="8"/>
  <c r="A52" i="8"/>
  <c r="Q51" i="8"/>
  <c r="P52" i="8" s="1"/>
  <c r="AG52" i="8"/>
  <c r="AH52" i="8"/>
  <c r="AI52" i="8"/>
  <c r="B53" i="8"/>
  <c r="C54" i="8"/>
  <c r="Y54" i="8" s="1"/>
  <c r="AD52" i="8"/>
  <c r="AC52" i="8"/>
  <c r="AO52" i="8" l="1"/>
  <c r="X53" i="8"/>
  <c r="Q52" i="8"/>
  <c r="P53" i="8" s="1"/>
  <c r="A53" i="8"/>
  <c r="AG53" i="8"/>
  <c r="AH53" i="8"/>
  <c r="AI53" i="8"/>
  <c r="C55" i="8"/>
  <c r="Y55" i="8" s="1"/>
  <c r="B54" i="8"/>
  <c r="AD53" i="8"/>
  <c r="AC53" i="8"/>
  <c r="AO53" i="8" l="1"/>
  <c r="X54" i="8"/>
  <c r="A54" i="8"/>
  <c r="Q53" i="8"/>
  <c r="P54" i="8" s="1"/>
  <c r="AH54" i="8"/>
  <c r="AG54" i="8"/>
  <c r="AI54" i="8"/>
  <c r="AD54" i="8"/>
  <c r="AC54" i="8"/>
  <c r="C56" i="8"/>
  <c r="Y56" i="8" s="1"/>
  <c r="B55" i="8"/>
  <c r="AO54" i="8" l="1"/>
  <c r="X55" i="8"/>
  <c r="A55" i="8"/>
  <c r="Q54" i="8"/>
  <c r="P55" i="8" s="1"/>
  <c r="AI55" i="8"/>
  <c r="AG55" i="8"/>
  <c r="AH55" i="8"/>
  <c r="AD55" i="8"/>
  <c r="AC55" i="8"/>
  <c r="B56" i="8"/>
  <c r="C57" i="8"/>
  <c r="Y57" i="8" l="1"/>
  <c r="AO55" i="8"/>
  <c r="X56" i="8"/>
  <c r="A56" i="8"/>
  <c r="Q55" i="8"/>
  <c r="P56" i="8" s="1"/>
  <c r="AI56" i="8"/>
  <c r="AG56" i="8"/>
  <c r="AH56" i="8"/>
  <c r="B57" i="8"/>
  <c r="C58" i="8"/>
  <c r="Y58" i="8" s="1"/>
  <c r="AC56" i="8"/>
  <c r="AD56" i="8"/>
  <c r="AO56" i="8" l="1"/>
  <c r="X57" i="8"/>
  <c r="A57" i="8"/>
  <c r="Q56" i="8"/>
  <c r="P57" i="8" s="1"/>
  <c r="AG57" i="8"/>
  <c r="AH57" i="8"/>
  <c r="AI57" i="8"/>
  <c r="B58" i="8"/>
  <c r="C59" i="8"/>
  <c r="Y59" i="8" s="1"/>
  <c r="AD57" i="8"/>
  <c r="AC57" i="8"/>
  <c r="AO57" i="8" l="1"/>
  <c r="X58" i="8"/>
  <c r="A58" i="8"/>
  <c r="Q57" i="8"/>
  <c r="P58" i="8" s="1"/>
  <c r="AH58" i="8"/>
  <c r="AI58" i="8"/>
  <c r="AG58" i="8"/>
  <c r="C60" i="8"/>
  <c r="Y60" i="8" s="1"/>
  <c r="B59" i="8"/>
  <c r="AD58" i="8"/>
  <c r="AC58" i="8"/>
  <c r="AO58" i="8" l="1"/>
  <c r="X59" i="8"/>
  <c r="A59" i="8"/>
  <c r="Q58" i="8"/>
  <c r="P59" i="8" s="1"/>
  <c r="AI59" i="8"/>
  <c r="AG59" i="8"/>
  <c r="AH59" i="8"/>
  <c r="AD59" i="8"/>
  <c r="AC59" i="8"/>
  <c r="C61" i="8"/>
  <c r="Y61" i="8" s="1"/>
  <c r="B60" i="8"/>
  <c r="AO59" i="8" l="1"/>
  <c r="X60" i="8"/>
  <c r="A60" i="8"/>
  <c r="Q59" i="8"/>
  <c r="P60" i="8" s="1"/>
  <c r="AH60" i="8"/>
  <c r="AI60" i="8"/>
  <c r="AG60" i="8"/>
  <c r="B61" i="8"/>
  <c r="C62" i="8"/>
  <c r="Y62" i="8" s="1"/>
  <c r="AD60" i="8"/>
  <c r="AC60" i="8"/>
  <c r="AO60" i="8" l="1"/>
  <c r="X61" i="8"/>
  <c r="A61" i="8"/>
  <c r="Q60" i="8"/>
  <c r="P61" i="8" s="1"/>
  <c r="AG61" i="8"/>
  <c r="AH61" i="8"/>
  <c r="AI61" i="8"/>
  <c r="C63" i="8"/>
  <c r="Y63" i="8" s="1"/>
  <c r="B62" i="8"/>
  <c r="AD61" i="8"/>
  <c r="AC61" i="8"/>
  <c r="AO61" i="8" l="1"/>
  <c r="X62" i="8"/>
  <c r="A62" i="8"/>
  <c r="Q61" i="8"/>
  <c r="P62" i="8" s="1"/>
  <c r="AH62" i="8"/>
  <c r="AG62" i="8"/>
  <c r="AI62" i="8"/>
  <c r="AD62" i="8"/>
  <c r="AC62" i="8"/>
  <c r="C64" i="8"/>
  <c r="Y64" i="8" s="1"/>
  <c r="B63" i="8"/>
  <c r="AO62" i="8" l="1"/>
  <c r="X63" i="8"/>
  <c r="A63" i="8"/>
  <c r="Q62" i="8"/>
  <c r="P63" i="8" s="1"/>
  <c r="AI63" i="8"/>
  <c r="AG63" i="8"/>
  <c r="AH63" i="8"/>
  <c r="AD63" i="8"/>
  <c r="AC63" i="8"/>
  <c r="B64" i="8"/>
  <c r="C65" i="8"/>
  <c r="Y65" i="8" s="1"/>
  <c r="X64" i="8" l="1"/>
  <c r="M64" i="8"/>
  <c r="AO63" i="8"/>
  <c r="A64" i="8"/>
  <c r="Q63" i="8"/>
  <c r="P64" i="8" s="1"/>
  <c r="AG64" i="8"/>
  <c r="AH64" i="8"/>
  <c r="AI64" i="8"/>
  <c r="C66" i="8"/>
  <c r="Y66" i="8" s="1"/>
  <c r="B65" i="8"/>
  <c r="AD64" i="8"/>
  <c r="AC64" i="8"/>
  <c r="X65" i="8" l="1"/>
  <c r="M65" i="8"/>
  <c r="AO64" i="8"/>
  <c r="A65" i="8"/>
  <c r="Q64" i="8"/>
  <c r="P65" i="8" s="1"/>
  <c r="AG65" i="8"/>
  <c r="AI65" i="8"/>
  <c r="AH65" i="8"/>
  <c r="AD65" i="8"/>
  <c r="AC65" i="8"/>
  <c r="C67" i="8"/>
  <c r="Y67" i="8" s="1"/>
  <c r="B66" i="8"/>
  <c r="M66" i="8" l="1"/>
  <c r="AO65" i="8"/>
  <c r="A66" i="8"/>
  <c r="X66" i="8"/>
  <c r="Q65" i="8"/>
  <c r="P66" i="8" s="1"/>
  <c r="AH66" i="8"/>
  <c r="AG66" i="8"/>
  <c r="AI66" i="8"/>
  <c r="C68" i="8"/>
  <c r="Y68" i="8" s="1"/>
  <c r="B67" i="8"/>
  <c r="AD66" i="8"/>
  <c r="AC66" i="8"/>
  <c r="M67" i="8" l="1"/>
  <c r="AO66" i="8"/>
  <c r="A67" i="8"/>
  <c r="X67" i="8"/>
  <c r="Q66" i="8"/>
  <c r="P67" i="8" s="1"/>
  <c r="AI67" i="8"/>
  <c r="AH67" i="8"/>
  <c r="AG67" i="8"/>
  <c r="AD67" i="8"/>
  <c r="AC67" i="8"/>
  <c r="C69" i="8"/>
  <c r="B68" i="8"/>
  <c r="Y69" i="8" l="1"/>
  <c r="X68" i="8"/>
  <c r="M68" i="8"/>
  <c r="AO67" i="8"/>
  <c r="A68" i="8"/>
  <c r="Q67" i="8"/>
  <c r="P68" i="8" s="1"/>
  <c r="AG68" i="8"/>
  <c r="AH68" i="8"/>
  <c r="AI68" i="8"/>
  <c r="C70" i="8"/>
  <c r="Y70" i="8" s="1"/>
  <c r="B69" i="8"/>
  <c r="AD68" i="8"/>
  <c r="AC68" i="8"/>
  <c r="X69" i="8" l="1"/>
  <c r="M69" i="8"/>
  <c r="AO68" i="8"/>
  <c r="Q68" i="8"/>
  <c r="P69" i="8" s="1"/>
  <c r="A69" i="8"/>
  <c r="AG69" i="8"/>
  <c r="AH69" i="8"/>
  <c r="AI69" i="8"/>
  <c r="AD69" i="8"/>
  <c r="AC69" i="8"/>
  <c r="B70" i="8"/>
  <c r="C71" i="8"/>
  <c r="Y71" i="8" s="1"/>
  <c r="M70" i="8" l="1"/>
  <c r="AO69" i="8"/>
  <c r="A70" i="8"/>
  <c r="X70" i="8"/>
  <c r="Q69" i="8"/>
  <c r="P70" i="8" s="1"/>
  <c r="AH70" i="8"/>
  <c r="AG70" i="8"/>
  <c r="AI70" i="8"/>
  <c r="C72" i="8"/>
  <c r="Y72" i="8" s="1"/>
  <c r="B71" i="8"/>
  <c r="AD70" i="8"/>
  <c r="AC70" i="8"/>
  <c r="M71" i="8" l="1"/>
  <c r="AO70" i="8"/>
  <c r="A71" i="8"/>
  <c r="X71" i="8"/>
  <c r="Q70" i="8"/>
  <c r="P71" i="8" s="1"/>
  <c r="AI71" i="8"/>
  <c r="AG71" i="8"/>
  <c r="AH71" i="8"/>
  <c r="AD71" i="8"/>
  <c r="AC71" i="8"/>
  <c r="B72" i="8"/>
  <c r="M72" i="8" s="1"/>
  <c r="C73" i="8"/>
  <c r="Y73" i="8" s="1"/>
  <c r="AO71" i="8" l="1"/>
  <c r="A72" i="8"/>
  <c r="X72" i="8"/>
  <c r="Q71" i="8"/>
  <c r="P72" i="8" s="1"/>
  <c r="AI72" i="8"/>
  <c r="AG72" i="8"/>
  <c r="AH72" i="8"/>
  <c r="B73" i="8"/>
  <c r="M73" i="8" s="1"/>
  <c r="C74" i="8"/>
  <c r="Y74" i="8" s="1"/>
  <c r="AC72" i="8"/>
  <c r="AD72" i="8"/>
  <c r="AO72" i="8" l="1"/>
  <c r="A73" i="8"/>
  <c r="X73" i="8"/>
  <c r="Q72" i="8"/>
  <c r="P73" i="8" s="1"/>
  <c r="AG73" i="8"/>
  <c r="AH73" i="8"/>
  <c r="AI73" i="8"/>
  <c r="B74" i="8"/>
  <c r="M74" i="8" s="1"/>
  <c r="C75" i="8"/>
  <c r="Y75" i="8" s="1"/>
  <c r="AD73" i="8"/>
  <c r="AC73" i="8"/>
  <c r="AO73" i="8" l="1"/>
  <c r="A74" i="8"/>
  <c r="X74" i="8"/>
  <c r="Q73" i="8"/>
  <c r="P74" i="8" s="1"/>
  <c r="AH74" i="8"/>
  <c r="AI74" i="8"/>
  <c r="AG74" i="8"/>
  <c r="C76" i="8"/>
  <c r="Y76" i="8" s="1"/>
  <c r="B75" i="8"/>
  <c r="M75" i="8" s="1"/>
  <c r="AD74" i="8"/>
  <c r="AC74" i="8"/>
  <c r="AO74" i="8" l="1"/>
  <c r="A75" i="8"/>
  <c r="X75" i="8"/>
  <c r="Q74" i="8"/>
  <c r="P75" i="8" s="1"/>
  <c r="AI75" i="8"/>
  <c r="AG75" i="8"/>
  <c r="AH75" i="8"/>
  <c r="AD75" i="8"/>
  <c r="AC75" i="8"/>
  <c r="B76" i="8"/>
  <c r="M76" i="8" s="1"/>
  <c r="C77" i="8"/>
  <c r="Y77" i="8" s="1"/>
  <c r="AO75" i="8" l="1"/>
  <c r="A76" i="8"/>
  <c r="X76" i="8"/>
  <c r="AH76" i="8"/>
  <c r="AI76" i="8"/>
  <c r="AG76" i="8"/>
  <c r="Q75" i="8"/>
  <c r="P76" i="8" s="1"/>
  <c r="AD76" i="8"/>
  <c r="AC76" i="8"/>
  <c r="B77" i="8"/>
  <c r="M77" i="8" s="1"/>
  <c r="C78" i="8"/>
  <c r="Y78" i="8" s="1"/>
  <c r="AO76" i="8" l="1"/>
  <c r="A77" i="8"/>
  <c r="X77" i="8"/>
  <c r="Q76" i="8"/>
  <c r="P77" i="8" s="1"/>
  <c r="AG77" i="8"/>
  <c r="AH77" i="8"/>
  <c r="AI77" i="8"/>
  <c r="B78" i="8"/>
  <c r="C79" i="8"/>
  <c r="Y79" i="8" s="1"/>
  <c r="AD77" i="8"/>
  <c r="AC77" i="8"/>
  <c r="X78" i="8" l="1"/>
  <c r="M78" i="8"/>
  <c r="AO77" i="8"/>
  <c r="A78" i="8"/>
  <c r="Q77" i="8"/>
  <c r="P78" i="8" s="1"/>
  <c r="AH78" i="8"/>
  <c r="AG78" i="8"/>
  <c r="AI78" i="8"/>
  <c r="C80" i="8"/>
  <c r="Y80" i="8" s="1"/>
  <c r="B79" i="8"/>
  <c r="M79" i="8" s="1"/>
  <c r="AD78" i="8"/>
  <c r="AC78" i="8"/>
  <c r="AO78" i="8" l="1"/>
  <c r="A79" i="8"/>
  <c r="X79" i="8"/>
  <c r="Q78" i="8"/>
  <c r="P79" i="8" s="1"/>
  <c r="AI79" i="8"/>
  <c r="AG79" i="8"/>
  <c r="AH79" i="8"/>
  <c r="AD79" i="8"/>
  <c r="AC79" i="8"/>
  <c r="B80" i="8"/>
  <c r="M80" i="8" s="1"/>
  <c r="C81" i="8"/>
  <c r="Y81" i="8" l="1"/>
  <c r="AO79" i="8"/>
  <c r="A80" i="8"/>
  <c r="X80" i="8"/>
  <c r="Q79" i="8"/>
  <c r="P80" i="8" s="1"/>
  <c r="AG80" i="8"/>
  <c r="AH80" i="8"/>
  <c r="AI80" i="8"/>
  <c r="AD80" i="8"/>
  <c r="AC80" i="8"/>
  <c r="B81" i="8"/>
  <c r="M81" i="8" s="1"/>
  <c r="C82" i="8"/>
  <c r="Y82" i="8" s="1"/>
  <c r="AO80" i="8" l="1"/>
  <c r="A81" i="8"/>
  <c r="X81" i="8"/>
  <c r="Q80" i="8"/>
  <c r="P81" i="8" s="1"/>
  <c r="AG81" i="8"/>
  <c r="AI81" i="8"/>
  <c r="AH81" i="8"/>
  <c r="B82" i="8"/>
  <c r="M82" i="8" s="1"/>
  <c r="C83" i="8"/>
  <c r="Y83" i="8" s="1"/>
  <c r="AD81" i="8"/>
  <c r="AC81" i="8"/>
  <c r="AO81" i="8" l="1"/>
  <c r="A82" i="8"/>
  <c r="X82" i="8"/>
  <c r="Q81" i="8"/>
  <c r="P82" i="8" s="1"/>
  <c r="AH82" i="8"/>
  <c r="AG82" i="8"/>
  <c r="AI82" i="8"/>
  <c r="C84" i="8"/>
  <c r="Y84" i="8" s="1"/>
  <c r="B83" i="8"/>
  <c r="M83" i="8" s="1"/>
  <c r="AD82" i="8"/>
  <c r="AC82" i="8"/>
  <c r="AO82" i="8" l="1"/>
  <c r="A83" i="8"/>
  <c r="X83" i="8"/>
  <c r="Q82" i="8"/>
  <c r="P83" i="8" s="1"/>
  <c r="AI83" i="8"/>
  <c r="AH83" i="8"/>
  <c r="AG83" i="8"/>
  <c r="AD83" i="8"/>
  <c r="AC83" i="8"/>
  <c r="B84" i="8"/>
  <c r="M84" i="8" s="1"/>
  <c r="C85" i="8"/>
  <c r="Y85" i="8" s="1"/>
  <c r="AO83" i="8" l="1"/>
  <c r="A84" i="8"/>
  <c r="X84" i="8"/>
  <c r="Q83" i="8"/>
  <c r="P84" i="8" s="1"/>
  <c r="AG84" i="8"/>
  <c r="AH84" i="8"/>
  <c r="AI84" i="8"/>
  <c r="AD84" i="8"/>
  <c r="AC84" i="8"/>
  <c r="C86" i="8"/>
  <c r="Y86" i="8" s="1"/>
  <c r="B85" i="8"/>
  <c r="M85" i="8" s="1"/>
  <c r="AO84" i="8" l="1"/>
  <c r="A85" i="8"/>
  <c r="X85" i="8"/>
  <c r="Q84" i="8"/>
  <c r="P85" i="8" s="1"/>
  <c r="AG85" i="8"/>
  <c r="AH85" i="8"/>
  <c r="AI85" i="8"/>
  <c r="AD85" i="8"/>
  <c r="AC85" i="8"/>
  <c r="B86" i="8"/>
  <c r="M86" i="8" s="1"/>
  <c r="C87" i="8"/>
  <c r="Y87" i="8" s="1"/>
  <c r="AO85" i="8" l="1"/>
  <c r="A86" i="8"/>
  <c r="X86" i="8"/>
  <c r="Q85" i="8"/>
  <c r="P86" i="8" s="1"/>
  <c r="AH86" i="8"/>
  <c r="AG86" i="8"/>
  <c r="AI86" i="8"/>
  <c r="C88" i="8"/>
  <c r="Y88" i="8" s="1"/>
  <c r="B87" i="8"/>
  <c r="M87" i="8" s="1"/>
  <c r="AD86" i="8"/>
  <c r="AC86" i="8"/>
  <c r="AO86" i="8" l="1"/>
  <c r="A87" i="8"/>
  <c r="X87" i="8"/>
  <c r="Q86" i="8"/>
  <c r="P87" i="8" s="1"/>
  <c r="AI87" i="8"/>
  <c r="AG87" i="8"/>
  <c r="AH87" i="8"/>
  <c r="AD87" i="8"/>
  <c r="AC87" i="8"/>
  <c r="B88" i="8"/>
  <c r="M88" i="8" s="1"/>
  <c r="C89" i="8"/>
  <c r="Y89" i="8" s="1"/>
  <c r="AO87" i="8" l="1"/>
  <c r="A88" i="8"/>
  <c r="X88" i="8"/>
  <c r="Q87" i="8"/>
  <c r="P88" i="8" s="1"/>
  <c r="AI88" i="8"/>
  <c r="AG88" i="8"/>
  <c r="AH88" i="8"/>
  <c r="B89" i="8"/>
  <c r="M89" i="8" s="1"/>
  <c r="C90" i="8"/>
  <c r="Y90" i="8" s="1"/>
  <c r="AC88" i="8"/>
  <c r="AD88" i="8"/>
  <c r="AO88" i="8" l="1"/>
  <c r="A89" i="8"/>
  <c r="X89" i="8"/>
  <c r="Q88" i="8"/>
  <c r="P89" i="8" s="1"/>
  <c r="AG89" i="8"/>
  <c r="AH89" i="8"/>
  <c r="AI89" i="8"/>
  <c r="B90" i="8"/>
  <c r="M90" i="8" s="1"/>
  <c r="C91" i="8"/>
  <c r="Y91" i="8" s="1"/>
  <c r="AD89" i="8"/>
  <c r="AC89" i="8"/>
  <c r="AO89" i="8" l="1"/>
  <c r="A90" i="8"/>
  <c r="X90" i="8"/>
  <c r="Q89" i="8"/>
  <c r="P90" i="8" s="1"/>
  <c r="AH90" i="8"/>
  <c r="AI90" i="8"/>
  <c r="AG90" i="8"/>
  <c r="C92" i="8"/>
  <c r="Y92" i="8" s="1"/>
  <c r="B91" i="8"/>
  <c r="M91" i="8" s="1"/>
  <c r="AD90" i="8"/>
  <c r="AC90" i="8"/>
  <c r="AO90" i="8" l="1"/>
  <c r="A91" i="8"/>
  <c r="X91" i="8"/>
  <c r="Q90" i="8"/>
  <c r="P91" i="8" s="1"/>
  <c r="AI91" i="8"/>
  <c r="AG91" i="8"/>
  <c r="AH91" i="8"/>
  <c r="AD91" i="8"/>
  <c r="AC91" i="8"/>
  <c r="C93" i="8"/>
  <c r="B92" i="8"/>
  <c r="M92" i="8" s="1"/>
  <c r="Y93" i="8" l="1"/>
  <c r="AO91" i="8"/>
  <c r="A92" i="8"/>
  <c r="X92" i="8"/>
  <c r="Q91" i="8"/>
  <c r="P92" i="8" s="1"/>
  <c r="AH92" i="8"/>
  <c r="AI92" i="8"/>
  <c r="AG92" i="8"/>
  <c r="C94" i="8"/>
  <c r="Y94" i="8" s="1"/>
  <c r="B93" i="8"/>
  <c r="M93" i="8" s="1"/>
  <c r="AD92" i="8"/>
  <c r="AC92" i="8"/>
  <c r="AO92" i="8" l="1"/>
  <c r="A93" i="8"/>
  <c r="X93" i="8"/>
  <c r="Q92" i="8"/>
  <c r="P93" i="8" s="1"/>
  <c r="AG93" i="8"/>
  <c r="AH93" i="8"/>
  <c r="AI93" i="8"/>
  <c r="AD93" i="8"/>
  <c r="AC93" i="8"/>
  <c r="B94" i="8"/>
  <c r="M94" i="8" s="1"/>
  <c r="C95" i="8"/>
  <c r="Y95" i="8" s="1"/>
  <c r="AO93" i="8" l="1"/>
  <c r="A94" i="8"/>
  <c r="X94" i="8"/>
  <c r="Q93" i="8"/>
  <c r="P94" i="8" s="1"/>
  <c r="AH94" i="8"/>
  <c r="AG94" i="8"/>
  <c r="AI94" i="8"/>
  <c r="C96" i="8"/>
  <c r="Y96" i="8" s="1"/>
  <c r="B95" i="8"/>
  <c r="M95" i="8" s="1"/>
  <c r="AD94" i="8"/>
  <c r="AC94" i="8"/>
  <c r="AO94" i="8" l="1"/>
  <c r="A95" i="8"/>
  <c r="X95" i="8"/>
  <c r="Q94" i="8"/>
  <c r="P95" i="8" s="1"/>
  <c r="AI95" i="8"/>
  <c r="AH95" i="8"/>
  <c r="AG95" i="8"/>
  <c r="AD95" i="8"/>
  <c r="AC95" i="8"/>
  <c r="B96" i="8"/>
  <c r="M96" i="8" s="1"/>
  <c r="C97" i="8"/>
  <c r="Y97" i="8" s="1"/>
  <c r="AO95" i="8" l="1"/>
  <c r="A96" i="8"/>
  <c r="X96" i="8"/>
  <c r="Q95" i="8"/>
  <c r="P96" i="8" s="1"/>
  <c r="AG96" i="8"/>
  <c r="AH96" i="8"/>
  <c r="AI96" i="8"/>
  <c r="B97" i="8"/>
  <c r="M97" i="8" s="1"/>
  <c r="C98" i="8"/>
  <c r="Y98" i="8" s="1"/>
  <c r="AD96" i="8"/>
  <c r="AC96" i="8"/>
  <c r="AO96" i="8" l="1"/>
  <c r="A97" i="8"/>
  <c r="X97" i="8"/>
  <c r="Q96" i="8"/>
  <c r="P97" i="8" s="1"/>
  <c r="AG97" i="8"/>
  <c r="AI97" i="8"/>
  <c r="AH97" i="8"/>
  <c r="C99" i="8"/>
  <c r="Y99" i="8" s="1"/>
  <c r="B98" i="8"/>
  <c r="M98" i="8" s="1"/>
  <c r="AD97" i="8"/>
  <c r="AC97" i="8"/>
  <c r="AO97" i="8" l="1"/>
  <c r="A98" i="8"/>
  <c r="X98" i="8"/>
  <c r="Q97" i="8"/>
  <c r="P98" i="8" s="1"/>
  <c r="AH98" i="8"/>
  <c r="AG98" i="8"/>
  <c r="AI98" i="8"/>
  <c r="AD98" i="8"/>
  <c r="AC98" i="8"/>
  <c r="B99" i="8"/>
  <c r="M99" i="8" s="1"/>
  <c r="C100" i="8"/>
  <c r="Y100" i="8" s="1"/>
  <c r="AO98" i="8" l="1"/>
  <c r="A99" i="8"/>
  <c r="X99" i="8"/>
  <c r="Q98" i="8"/>
  <c r="P99" i="8" s="1"/>
  <c r="AI99" i="8"/>
  <c r="AH99" i="8"/>
  <c r="AG99" i="8"/>
  <c r="B100" i="8"/>
  <c r="M100" i="8" s="1"/>
  <c r="C101" i="8"/>
  <c r="Y101" i="8" s="1"/>
  <c r="AD99" i="8"/>
  <c r="AC99" i="8"/>
  <c r="AO99" i="8" l="1"/>
  <c r="A100" i="8"/>
  <c r="X100" i="8"/>
  <c r="Q99" i="8"/>
  <c r="P100" i="8" s="1"/>
  <c r="AG100" i="8"/>
  <c r="AI100" i="8"/>
  <c r="AH100" i="8"/>
  <c r="B101" i="8"/>
  <c r="M101" i="8" s="1"/>
  <c r="C102" i="8"/>
  <c r="Y102" i="8" s="1"/>
  <c r="AD100" i="8"/>
  <c r="AC100" i="8"/>
  <c r="AO100" i="8" l="1"/>
  <c r="A101" i="8"/>
  <c r="X101" i="8"/>
  <c r="Q100" i="8"/>
  <c r="P101" i="8" s="1"/>
  <c r="AG101" i="8"/>
  <c r="AH101" i="8"/>
  <c r="AI101" i="8"/>
  <c r="B102" i="8"/>
  <c r="M102" i="8" s="1"/>
  <c r="C103" i="8"/>
  <c r="Y103" i="8" s="1"/>
  <c r="AD101" i="8"/>
  <c r="AC101" i="8"/>
  <c r="AO101" i="8" l="1"/>
  <c r="A102" i="8"/>
  <c r="X102" i="8"/>
  <c r="Q101" i="8"/>
  <c r="P102" i="8" s="1"/>
  <c r="AH102" i="8"/>
  <c r="AI102" i="8"/>
  <c r="AG102" i="8"/>
  <c r="C104" i="8"/>
  <c r="Y104" i="8" s="1"/>
  <c r="B103" i="8"/>
  <c r="M103" i="8" s="1"/>
  <c r="AD102" i="8"/>
  <c r="AC102" i="8"/>
  <c r="AO102" i="8" l="1"/>
  <c r="A103" i="8"/>
  <c r="X103" i="8"/>
  <c r="Q102" i="8"/>
  <c r="P103" i="8" s="1"/>
  <c r="AI103" i="8"/>
  <c r="AG103" i="8"/>
  <c r="AH103" i="8"/>
  <c r="AD103" i="8"/>
  <c r="AC103" i="8"/>
  <c r="B104" i="8"/>
  <c r="M104" i="8" s="1"/>
  <c r="C105" i="8"/>
  <c r="Y105" i="8" l="1"/>
  <c r="AO103" i="8"/>
  <c r="A104" i="8"/>
  <c r="X104" i="8"/>
  <c r="Q103" i="8"/>
  <c r="P104" i="8" s="1"/>
  <c r="AI104" i="8"/>
  <c r="AH104" i="8"/>
  <c r="AG104" i="8"/>
  <c r="AC104" i="8"/>
  <c r="AD104" i="8"/>
  <c r="B105" i="8"/>
  <c r="M105" i="8" s="1"/>
  <c r="C106" i="8"/>
  <c r="Y106" i="8" s="1"/>
  <c r="AO104" i="8" l="1"/>
  <c r="A105" i="8"/>
  <c r="X105" i="8"/>
  <c r="Q104" i="8"/>
  <c r="P105" i="8" s="1"/>
  <c r="AG105" i="8"/>
  <c r="AH105" i="8"/>
  <c r="AI105" i="8"/>
  <c r="B106" i="8"/>
  <c r="M106" i="8" s="1"/>
  <c r="C107" i="8"/>
  <c r="Y107" i="8" s="1"/>
  <c r="AD105" i="8"/>
  <c r="AC105" i="8"/>
  <c r="AO105" i="8" l="1"/>
  <c r="A106" i="8"/>
  <c r="X106" i="8"/>
  <c r="Q105" i="8"/>
  <c r="P106" i="8" s="1"/>
  <c r="AH106" i="8"/>
  <c r="AI106" i="8"/>
  <c r="AG106" i="8"/>
  <c r="C108" i="8"/>
  <c r="Y108" i="8" s="1"/>
  <c r="B107" i="8"/>
  <c r="M107" i="8" s="1"/>
  <c r="AD106" i="8"/>
  <c r="AC106" i="8"/>
  <c r="AO106" i="8" l="1"/>
  <c r="A107" i="8"/>
  <c r="X107" i="8"/>
  <c r="Q106" i="8"/>
  <c r="P107" i="8" s="1"/>
  <c r="AI107" i="8"/>
  <c r="AG107" i="8"/>
  <c r="AH107" i="8"/>
  <c r="AD107" i="8"/>
  <c r="AC107" i="8"/>
  <c r="B108" i="8"/>
  <c r="M108" i="8" s="1"/>
  <c r="C109" i="8"/>
  <c r="Y109" i="8" s="1"/>
  <c r="AO107" i="8" l="1"/>
  <c r="A108" i="8"/>
  <c r="X108" i="8"/>
  <c r="Q107" i="8"/>
  <c r="P108" i="8" s="1"/>
  <c r="AH108" i="8"/>
  <c r="AI108" i="8"/>
  <c r="AG108" i="8"/>
  <c r="B109" i="8"/>
  <c r="M109" i="8" s="1"/>
  <c r="C110" i="8"/>
  <c r="Y110" i="8" s="1"/>
  <c r="AD108" i="8"/>
  <c r="AC108" i="8"/>
  <c r="AO108" i="8" l="1"/>
  <c r="Q108" i="8"/>
  <c r="P109" i="8" s="1"/>
  <c r="A109" i="8"/>
  <c r="X109" i="8"/>
  <c r="AG109" i="8"/>
  <c r="AI109" i="8"/>
  <c r="AH109" i="8"/>
  <c r="C111" i="8"/>
  <c r="Y111" i="8" s="1"/>
  <c r="B110" i="8"/>
  <c r="M110" i="8" s="1"/>
  <c r="AD109" i="8"/>
  <c r="AC109" i="8"/>
  <c r="AO109" i="8" l="1"/>
  <c r="A110" i="8"/>
  <c r="X110" i="8"/>
  <c r="Q109" i="8"/>
  <c r="P110" i="8" s="1"/>
  <c r="AH110" i="8"/>
  <c r="AG110" i="8"/>
  <c r="AI110" i="8"/>
  <c r="AD110" i="8"/>
  <c r="AC110" i="8"/>
  <c r="C112" i="8"/>
  <c r="Y112" i="8" s="1"/>
  <c r="B111" i="8"/>
  <c r="M111" i="8" s="1"/>
  <c r="AO110" i="8" l="1"/>
  <c r="A111" i="8"/>
  <c r="X111" i="8"/>
  <c r="Q110" i="8"/>
  <c r="P111" i="8" s="1"/>
  <c r="AI111" i="8"/>
  <c r="AH111" i="8"/>
  <c r="AG111" i="8"/>
  <c r="B112" i="8"/>
  <c r="M112" i="8" s="1"/>
  <c r="C113" i="8"/>
  <c r="Y113" i="8" s="1"/>
  <c r="AD111" i="8"/>
  <c r="AC111" i="8"/>
  <c r="AO111" i="8" l="1"/>
  <c r="A112" i="8"/>
  <c r="X112" i="8"/>
  <c r="Q111" i="8"/>
  <c r="P112" i="8" s="1"/>
  <c r="AG112" i="8"/>
  <c r="AH112" i="8"/>
  <c r="AI112" i="8"/>
  <c r="B113" i="8"/>
  <c r="M113" i="8" s="1"/>
  <c r="C114" i="8"/>
  <c r="Y114" i="8" s="1"/>
  <c r="AD112" i="8"/>
  <c r="AC112" i="8"/>
  <c r="AO112" i="8" l="1"/>
  <c r="A113" i="8"/>
  <c r="X113" i="8"/>
  <c r="Q112" i="8"/>
  <c r="P113" i="8" s="1"/>
  <c r="AG113" i="8"/>
  <c r="AI113" i="8"/>
  <c r="AH113" i="8"/>
  <c r="C115" i="8"/>
  <c r="Y115" i="8" s="1"/>
  <c r="B114" i="8"/>
  <c r="M114" i="8" s="1"/>
  <c r="AD113" i="8"/>
  <c r="AC113" i="8"/>
  <c r="AO113" i="8" l="1"/>
  <c r="A114" i="8"/>
  <c r="X114" i="8"/>
  <c r="Q113" i="8"/>
  <c r="P114" i="8" s="1"/>
  <c r="AH114" i="8"/>
  <c r="AG114" i="8"/>
  <c r="AI114" i="8"/>
  <c r="AD114" i="8"/>
  <c r="AC114" i="8"/>
  <c r="B115" i="8"/>
  <c r="M115" i="8" s="1"/>
  <c r="C116" i="8"/>
  <c r="Y116" i="8" s="1"/>
  <c r="AO114" i="8" l="1"/>
  <c r="A115" i="8"/>
  <c r="X115" i="8"/>
  <c r="Q114" i="8"/>
  <c r="P115" i="8" s="1"/>
  <c r="AI115" i="8"/>
  <c r="AH115" i="8"/>
  <c r="AG115" i="8"/>
  <c r="B116" i="8"/>
  <c r="M116" i="8" s="1"/>
  <c r="C117" i="8"/>
  <c r="AD115" i="8"/>
  <c r="AC115" i="8"/>
  <c r="Y117" i="8" l="1"/>
  <c r="AO115" i="8"/>
  <c r="A116" i="8"/>
  <c r="X116" i="8"/>
  <c r="Q115" i="8"/>
  <c r="P116" i="8" s="1"/>
  <c r="AG116" i="8"/>
  <c r="AI116" i="8"/>
  <c r="AH116" i="8"/>
  <c r="B117" i="8"/>
  <c r="M117" i="8" s="1"/>
  <c r="C118" i="8"/>
  <c r="Y118" i="8" s="1"/>
  <c r="AD116" i="8"/>
  <c r="AC116" i="8"/>
  <c r="AO116" i="8" l="1"/>
  <c r="A117" i="8"/>
  <c r="X117" i="8"/>
  <c r="Q116" i="8"/>
  <c r="P117" i="8" s="1"/>
  <c r="AG117" i="8"/>
  <c r="AH117" i="8"/>
  <c r="AI117" i="8"/>
  <c r="B118" i="8"/>
  <c r="M118" i="8" s="1"/>
  <c r="C119" i="8"/>
  <c r="Y119" i="8" s="1"/>
  <c r="AD117" i="8"/>
  <c r="AC117" i="8"/>
  <c r="AO117" i="8" l="1"/>
  <c r="A118" i="8"/>
  <c r="X118" i="8"/>
  <c r="Q117" i="8"/>
  <c r="P118" i="8" s="1"/>
  <c r="AH118" i="8"/>
  <c r="AI118" i="8"/>
  <c r="AG118" i="8"/>
  <c r="B119" i="8"/>
  <c r="M119" i="8" s="1"/>
  <c r="C120" i="8"/>
  <c r="Y120" i="8" s="1"/>
  <c r="AD118" i="8"/>
  <c r="AC118" i="8"/>
  <c r="AO118" i="8" l="1"/>
  <c r="A119" i="8"/>
  <c r="X119" i="8"/>
  <c r="Q118" i="8"/>
  <c r="P119" i="8" s="1"/>
  <c r="AI119" i="8"/>
  <c r="AG119" i="8"/>
  <c r="AH119" i="8"/>
  <c r="B120" i="8"/>
  <c r="M120" i="8" s="1"/>
  <c r="C121" i="8"/>
  <c r="Y121" i="8" s="1"/>
  <c r="AD119" i="8"/>
  <c r="AC119" i="8"/>
  <c r="AO119" i="8" l="1"/>
  <c r="A120" i="8"/>
  <c r="X120" i="8"/>
  <c r="Q119" i="8"/>
  <c r="P120" i="8" s="1"/>
  <c r="AI120" i="8"/>
  <c r="AH120" i="8"/>
  <c r="AG120" i="8"/>
  <c r="C122" i="8"/>
  <c r="Y122" i="8" s="1"/>
  <c r="B121" i="8"/>
  <c r="M121" i="8" s="1"/>
  <c r="AC120" i="8"/>
  <c r="AD120" i="8"/>
  <c r="AO120" i="8" l="1"/>
  <c r="A121" i="8"/>
  <c r="X121" i="8"/>
  <c r="Q120" i="8"/>
  <c r="P121" i="8" s="1"/>
  <c r="AG121" i="8"/>
  <c r="AH121" i="8"/>
  <c r="AI121" i="8"/>
  <c r="AD121" i="8"/>
  <c r="AC121" i="8"/>
  <c r="B122" i="8"/>
  <c r="M122" i="8" s="1"/>
  <c r="C123" i="8"/>
  <c r="Y123" i="8" s="1"/>
  <c r="AO121" i="8" l="1"/>
  <c r="A122" i="8"/>
  <c r="X122" i="8"/>
  <c r="Q121" i="8"/>
  <c r="P122" i="8" s="1"/>
  <c r="AH122" i="8"/>
  <c r="AI122" i="8"/>
  <c r="AG122" i="8"/>
  <c r="B123" i="8"/>
  <c r="M123" i="8" s="1"/>
  <c r="C124" i="8"/>
  <c r="Y124" i="8" s="1"/>
  <c r="AD122" i="8"/>
  <c r="AC122" i="8"/>
  <c r="AO122" i="8" l="1"/>
  <c r="A123" i="8"/>
  <c r="X123" i="8"/>
  <c r="Q122" i="8"/>
  <c r="P123" i="8" s="1"/>
  <c r="AI123" i="8"/>
  <c r="AG123" i="8"/>
  <c r="AH123" i="8"/>
  <c r="B124" i="8"/>
  <c r="M124" i="8" s="1"/>
  <c r="C125" i="8"/>
  <c r="Y125" i="8" s="1"/>
  <c r="AD123" i="8"/>
  <c r="AC123" i="8"/>
  <c r="AO123" i="8" l="1"/>
  <c r="A124" i="8"/>
  <c r="X124" i="8"/>
  <c r="Q123" i="8"/>
  <c r="P124" i="8" s="1"/>
  <c r="AH124" i="8"/>
  <c r="AI124" i="8"/>
  <c r="AG124" i="8"/>
  <c r="C126" i="8"/>
  <c r="Y126" i="8" s="1"/>
  <c r="B125" i="8"/>
  <c r="M125" i="8" s="1"/>
  <c r="AD124" i="8"/>
  <c r="AC124" i="8"/>
  <c r="AO124" i="8" l="1"/>
  <c r="A125" i="8"/>
  <c r="X125" i="8"/>
  <c r="Q124" i="8"/>
  <c r="P125" i="8" s="1"/>
  <c r="AG125" i="8"/>
  <c r="AI125" i="8"/>
  <c r="AH125" i="8"/>
  <c r="AD125" i="8"/>
  <c r="AC125" i="8"/>
  <c r="C127" i="8"/>
  <c r="Y127" i="8" s="1"/>
  <c r="B126" i="8"/>
  <c r="M126" i="8" s="1"/>
  <c r="AO125" i="8" l="1"/>
  <c r="A126" i="8"/>
  <c r="X126" i="8"/>
  <c r="Q125" i="8"/>
  <c r="P126" i="8" s="1"/>
  <c r="AH126" i="8"/>
  <c r="AG126" i="8"/>
  <c r="AI126" i="8"/>
  <c r="AD126" i="8"/>
  <c r="AC126" i="8"/>
  <c r="B127" i="8"/>
  <c r="M127" i="8" s="1"/>
  <c r="C128" i="8"/>
  <c r="Y128" i="8" s="1"/>
  <c r="AO126" i="8" l="1"/>
  <c r="A127" i="8"/>
  <c r="X127" i="8"/>
  <c r="Q126" i="8"/>
  <c r="P127" i="8" s="1"/>
  <c r="AI127" i="8"/>
  <c r="AH127" i="8"/>
  <c r="AG127" i="8"/>
  <c r="B128" i="8"/>
  <c r="M128" i="8" s="1"/>
  <c r="C129" i="8"/>
  <c r="AD127" i="8"/>
  <c r="AC127" i="8"/>
  <c r="Y129" i="8" l="1"/>
  <c r="AO127" i="8"/>
  <c r="A128" i="8"/>
  <c r="X128" i="8"/>
  <c r="Q127" i="8"/>
  <c r="P128" i="8" s="1"/>
  <c r="AG128" i="8"/>
  <c r="AH128" i="8"/>
  <c r="AI128" i="8"/>
  <c r="C130" i="8"/>
  <c r="Y130" i="8" s="1"/>
  <c r="B129" i="8"/>
  <c r="M129" i="8" s="1"/>
  <c r="AD128" i="8"/>
  <c r="AC128" i="8"/>
  <c r="AO128" i="8" l="1"/>
  <c r="A129" i="8"/>
  <c r="X129" i="8"/>
  <c r="Q128" i="8"/>
  <c r="P129" i="8" s="1"/>
  <c r="AG129" i="8"/>
  <c r="AI129" i="8"/>
  <c r="AH129" i="8"/>
  <c r="AD129" i="8"/>
  <c r="AC129" i="8"/>
  <c r="B130" i="8"/>
  <c r="M130" i="8" s="1"/>
  <c r="C131" i="8"/>
  <c r="Y131" i="8" s="1"/>
  <c r="AO129" i="8" l="1"/>
  <c r="A130" i="8"/>
  <c r="X130" i="8"/>
  <c r="Q129" i="8"/>
  <c r="P130" i="8" s="1"/>
  <c r="AH130" i="8"/>
  <c r="AG130" i="8"/>
  <c r="AI130" i="8"/>
  <c r="AD130" i="8"/>
  <c r="AC130" i="8"/>
  <c r="C132" i="8"/>
  <c r="Y132" i="8" s="1"/>
  <c r="B131" i="8"/>
  <c r="M131" i="8" s="1"/>
  <c r="AO130" i="8" l="1"/>
  <c r="A131" i="8"/>
  <c r="X131" i="8"/>
  <c r="Q130" i="8"/>
  <c r="P131" i="8" s="1"/>
  <c r="AI131" i="8"/>
  <c r="AH131" i="8"/>
  <c r="AG131" i="8"/>
  <c r="AD131" i="8"/>
  <c r="AC131" i="8"/>
  <c r="B132" i="8"/>
  <c r="M132" i="8" s="1"/>
  <c r="C133" i="8"/>
  <c r="Y133" i="8" s="1"/>
  <c r="AO131" i="8" l="1"/>
  <c r="A132" i="8"/>
  <c r="X132" i="8"/>
  <c r="Q131" i="8"/>
  <c r="P132" i="8" s="1"/>
  <c r="AG132" i="8"/>
  <c r="AI132" i="8"/>
  <c r="AH132" i="8"/>
  <c r="C134" i="8"/>
  <c r="Y134" i="8" s="1"/>
  <c r="B133" i="8"/>
  <c r="M133" i="8" s="1"/>
  <c r="AC132" i="8"/>
  <c r="AD132" i="8"/>
  <c r="AO132" i="8" l="1"/>
  <c r="A133" i="8"/>
  <c r="X133" i="8"/>
  <c r="Q132" i="8"/>
  <c r="P133" i="8" s="1"/>
  <c r="AG133" i="8"/>
  <c r="AH133" i="8"/>
  <c r="AI133" i="8"/>
  <c r="AD133" i="8"/>
  <c r="AC133" i="8"/>
  <c r="C135" i="8"/>
  <c r="Y135" i="8" s="1"/>
  <c r="B134" i="8"/>
  <c r="M134" i="8" s="1"/>
  <c r="AO133" i="8" l="1"/>
  <c r="A134" i="8"/>
  <c r="X134" i="8"/>
  <c r="Q133" i="8"/>
  <c r="P134" i="8" s="1"/>
  <c r="AH134" i="8"/>
  <c r="AI134" i="8"/>
  <c r="AG134" i="8"/>
  <c r="AD134" i="8"/>
  <c r="AC134" i="8"/>
  <c r="B135" i="8"/>
  <c r="M135" i="8" s="1"/>
  <c r="C136" i="8"/>
  <c r="Y136" i="8" s="1"/>
  <c r="AO134" i="8" l="1"/>
  <c r="A135" i="8"/>
  <c r="X135" i="8"/>
  <c r="Q134" i="8"/>
  <c r="P135" i="8" s="1"/>
  <c r="AI135" i="8"/>
  <c r="AG135" i="8"/>
  <c r="AH135" i="8"/>
  <c r="C137" i="8"/>
  <c r="Y137" i="8" s="1"/>
  <c r="B136" i="8"/>
  <c r="M136" i="8" s="1"/>
  <c r="AD135" i="8"/>
  <c r="AC135" i="8"/>
  <c r="AO135" i="8" l="1"/>
  <c r="A136" i="8"/>
  <c r="X136" i="8"/>
  <c r="Q135" i="8"/>
  <c r="P136" i="8" s="1"/>
  <c r="AI136" i="8"/>
  <c r="AH136" i="8"/>
  <c r="AG136" i="8"/>
  <c r="AC136" i="8"/>
  <c r="AD136" i="8"/>
  <c r="C138" i="8"/>
  <c r="Y138" i="8" s="1"/>
  <c r="B137" i="8"/>
  <c r="M137" i="8" s="1"/>
  <c r="AO136" i="8" l="1"/>
  <c r="A137" i="8"/>
  <c r="X137" i="8"/>
  <c r="Q136" i="8"/>
  <c r="P137" i="8" s="1"/>
  <c r="AG137" i="8"/>
  <c r="AH137" i="8"/>
  <c r="AI137" i="8"/>
  <c r="C139" i="8"/>
  <c r="Y139" i="8" s="1"/>
  <c r="B138" i="8"/>
  <c r="M138" i="8" s="1"/>
  <c r="AD137" i="8"/>
  <c r="AC137" i="8"/>
  <c r="AO137" i="8" l="1"/>
  <c r="A138" i="8"/>
  <c r="X138" i="8"/>
  <c r="Q137" i="8"/>
  <c r="P138" i="8" s="1"/>
  <c r="AH138" i="8"/>
  <c r="AI138" i="8"/>
  <c r="AG138" i="8"/>
  <c r="AD138" i="8"/>
  <c r="AC138" i="8"/>
  <c r="C140" i="8"/>
  <c r="Y140" i="8" s="1"/>
  <c r="B139" i="8"/>
  <c r="M139" i="8" s="1"/>
  <c r="AO138" i="8" l="1"/>
  <c r="A139" i="8"/>
  <c r="X139" i="8"/>
  <c r="Q138" i="8"/>
  <c r="P139" i="8" s="1"/>
  <c r="AI139" i="8"/>
  <c r="AG139" i="8"/>
  <c r="AH139" i="8"/>
  <c r="C141" i="8"/>
  <c r="B140" i="8"/>
  <c r="M140" i="8" s="1"/>
  <c r="AD139" i="8"/>
  <c r="AC139" i="8"/>
  <c r="Y141" i="8" l="1"/>
  <c r="AO139" i="8"/>
  <c r="A140" i="8"/>
  <c r="X140" i="8"/>
  <c r="Q139" i="8"/>
  <c r="P140" i="8" s="1"/>
  <c r="AH140" i="8"/>
  <c r="AI140" i="8"/>
  <c r="AG140" i="8"/>
  <c r="AD140" i="8"/>
  <c r="AC140" i="8"/>
  <c r="C142" i="8"/>
  <c r="Y142" i="8" s="1"/>
  <c r="B141" i="8"/>
  <c r="M141" i="8" s="1"/>
  <c r="AO140" i="8" l="1"/>
  <c r="A141" i="8"/>
  <c r="X141" i="8"/>
  <c r="Q140" i="8"/>
  <c r="P141" i="8" s="1"/>
  <c r="AG141" i="8"/>
  <c r="AI141" i="8"/>
  <c r="AH141" i="8"/>
  <c r="AD141" i="8"/>
  <c r="AC141" i="8"/>
  <c r="C143" i="8"/>
  <c r="Y143" i="8" s="1"/>
  <c r="B142" i="8"/>
  <c r="M142" i="8" s="1"/>
  <c r="AO141" i="8" l="1"/>
  <c r="A142" i="8"/>
  <c r="X142" i="8"/>
  <c r="Q141" i="8"/>
  <c r="P142" i="8" s="1"/>
  <c r="AH142" i="8"/>
  <c r="AG142" i="8"/>
  <c r="AI142" i="8"/>
  <c r="C144" i="8"/>
  <c r="Y144" i="8" s="1"/>
  <c r="B143" i="8"/>
  <c r="M143" i="8" s="1"/>
  <c r="AD142" i="8"/>
  <c r="AC142" i="8"/>
  <c r="AO142" i="8" l="1"/>
  <c r="A143" i="8"/>
  <c r="X143" i="8"/>
  <c r="Q142" i="8"/>
  <c r="P143" i="8" s="1"/>
  <c r="AI143" i="8"/>
  <c r="AH143" i="8"/>
  <c r="AG143" i="8"/>
  <c r="AD143" i="8"/>
  <c r="AC143" i="8"/>
  <c r="B144" i="8"/>
  <c r="M144" i="8" s="1"/>
  <c r="C145" i="8"/>
  <c r="Y145" i="8" s="1"/>
  <c r="AO143" i="8" l="1"/>
  <c r="A144" i="8"/>
  <c r="X144" i="8"/>
  <c r="Q143" i="8"/>
  <c r="P144" i="8" s="1"/>
  <c r="AG144" i="8"/>
  <c r="AH144" i="8"/>
  <c r="AI144" i="8"/>
  <c r="C146" i="8"/>
  <c r="Y146" i="8" s="1"/>
  <c r="B145" i="8"/>
  <c r="M145" i="8" s="1"/>
  <c r="AD144" i="8"/>
  <c r="AC144" i="8"/>
  <c r="AO144" i="8" l="1"/>
  <c r="A145" i="8"/>
  <c r="X145" i="8"/>
  <c r="Q144" i="8"/>
  <c r="P145" i="8" s="1"/>
  <c r="AG145" i="8"/>
  <c r="AI145" i="8"/>
  <c r="AH145" i="8"/>
  <c r="AD145" i="8"/>
  <c r="AC145" i="8"/>
  <c r="B146" i="8"/>
  <c r="M146" i="8" s="1"/>
  <c r="C147" i="8"/>
  <c r="Y147" i="8" s="1"/>
  <c r="AO145" i="8" l="1"/>
  <c r="A146" i="8"/>
  <c r="X146" i="8"/>
  <c r="Q145" i="8"/>
  <c r="P146" i="8" s="1"/>
  <c r="AH146" i="8"/>
  <c r="AG146" i="8"/>
  <c r="AI146" i="8"/>
  <c r="B147" i="8"/>
  <c r="M147" i="8" s="1"/>
  <c r="C148" i="8"/>
  <c r="Y148" i="8" s="1"/>
  <c r="AD146" i="8"/>
  <c r="AC146" i="8"/>
  <c r="AO146" i="8" l="1"/>
  <c r="A147" i="8"/>
  <c r="X147" i="8"/>
  <c r="Q146" i="8"/>
  <c r="P147" i="8" s="1"/>
  <c r="AI147" i="8"/>
  <c r="AH147" i="8"/>
  <c r="AG147" i="8"/>
  <c r="B148" i="8"/>
  <c r="M148" i="8" s="1"/>
  <c r="C149" i="8"/>
  <c r="Y149" i="8" s="1"/>
  <c r="AD147" i="8"/>
  <c r="AC147" i="8"/>
  <c r="AO147" i="8" l="1"/>
  <c r="A148" i="8"/>
  <c r="X148" i="8"/>
  <c r="Q147" i="8"/>
  <c r="P148" i="8" s="1"/>
  <c r="AG148" i="8"/>
  <c r="AI148" i="8"/>
  <c r="AH148" i="8"/>
  <c r="B149" i="8"/>
  <c r="M149" i="8" s="1"/>
  <c r="C150" i="8"/>
  <c r="Y150" i="8" s="1"/>
  <c r="AC148" i="8"/>
  <c r="AD148" i="8"/>
  <c r="AO148" i="8" l="1"/>
  <c r="A149" i="8"/>
  <c r="X149" i="8"/>
  <c r="Q148" i="8"/>
  <c r="P149" i="8" s="1"/>
  <c r="AG149" i="8"/>
  <c r="AH149" i="8"/>
  <c r="AI149" i="8"/>
  <c r="B150" i="8"/>
  <c r="M150" i="8" s="1"/>
  <c r="C151" i="8"/>
  <c r="Y151" i="8" s="1"/>
  <c r="AD149" i="8"/>
  <c r="AC149" i="8"/>
  <c r="AO149" i="8" l="1"/>
  <c r="A150" i="8"/>
  <c r="X150" i="8"/>
  <c r="Q149" i="8"/>
  <c r="P150" i="8" s="1"/>
  <c r="AH150" i="8"/>
  <c r="AI150" i="8"/>
  <c r="AG150" i="8"/>
  <c r="C152" i="8"/>
  <c r="Y152" i="8" s="1"/>
  <c r="B151" i="8"/>
  <c r="M151" i="8" s="1"/>
  <c r="AD150" i="8"/>
  <c r="AC150" i="8"/>
  <c r="AO150" i="8" l="1"/>
  <c r="A151" i="8"/>
  <c r="X151" i="8"/>
  <c r="Q150" i="8"/>
  <c r="P151" i="8" s="1"/>
  <c r="AI151" i="8"/>
  <c r="AG151" i="8"/>
  <c r="AH151" i="8"/>
  <c r="AD151" i="8"/>
  <c r="AC151" i="8"/>
  <c r="C153" i="8"/>
  <c r="B152" i="8"/>
  <c r="M152" i="8" s="1"/>
  <c r="Y153" i="8" l="1"/>
  <c r="AO151" i="8"/>
  <c r="A152" i="8"/>
  <c r="X152" i="8"/>
  <c r="Q151" i="8"/>
  <c r="P152" i="8" s="1"/>
  <c r="AI152" i="8"/>
  <c r="AH152" i="8"/>
  <c r="AG152" i="8"/>
  <c r="C154" i="8"/>
  <c r="Y154" i="8" s="1"/>
  <c r="B153" i="8"/>
  <c r="M153" i="8" s="1"/>
  <c r="AD152" i="8"/>
  <c r="AC152" i="8"/>
  <c r="AO152" i="8" l="1"/>
  <c r="A153" i="8"/>
  <c r="X153" i="8"/>
  <c r="Q152" i="8"/>
  <c r="P153" i="8" s="1"/>
  <c r="AG153" i="8"/>
  <c r="AH153" i="8"/>
  <c r="AI153" i="8"/>
  <c r="AD153" i="8"/>
  <c r="AC153" i="8"/>
  <c r="B154" i="8"/>
  <c r="M154" i="8" s="1"/>
  <c r="C155" i="8"/>
  <c r="Y155" i="8" s="1"/>
  <c r="AO153" i="8" l="1"/>
  <c r="A154" i="8"/>
  <c r="X154" i="8"/>
  <c r="Q153" i="8"/>
  <c r="P154" i="8" s="1"/>
  <c r="AH154" i="8"/>
  <c r="AI154" i="8"/>
  <c r="AG154" i="8"/>
  <c r="C156" i="8"/>
  <c r="Y156" i="8" s="1"/>
  <c r="B155" i="8"/>
  <c r="M155" i="8" s="1"/>
  <c r="AD154" i="8"/>
  <c r="AC154" i="8"/>
  <c r="AO154" i="8" l="1"/>
  <c r="A155" i="8"/>
  <c r="X155" i="8"/>
  <c r="Q154" i="8"/>
  <c r="P155" i="8" s="1"/>
  <c r="AI155" i="8"/>
  <c r="AG155" i="8"/>
  <c r="AH155" i="8"/>
  <c r="AD155" i="8"/>
  <c r="AC155" i="8"/>
  <c r="B156" i="8"/>
  <c r="M156" i="8" s="1"/>
  <c r="C157" i="8"/>
  <c r="Y157" i="8" s="1"/>
  <c r="AO155" i="8" l="1"/>
  <c r="A156" i="8"/>
  <c r="X156" i="8"/>
  <c r="Q155" i="8"/>
  <c r="P156" i="8" s="1"/>
  <c r="AH156" i="8"/>
  <c r="AI156" i="8"/>
  <c r="AG156" i="8"/>
  <c r="AD156" i="8"/>
  <c r="AC156" i="8"/>
  <c r="C158" i="8"/>
  <c r="Y158" i="8" s="1"/>
  <c r="B157" i="8"/>
  <c r="M157" i="8" s="1"/>
  <c r="AO156" i="8" l="1"/>
  <c r="A157" i="8"/>
  <c r="X157" i="8"/>
  <c r="Q156" i="8"/>
  <c r="P157" i="8" s="1"/>
  <c r="AG157" i="8"/>
  <c r="AI157" i="8"/>
  <c r="AH157" i="8"/>
  <c r="AD157" i="8"/>
  <c r="AC157" i="8"/>
  <c r="B158" i="8"/>
  <c r="M158" i="8" s="1"/>
  <c r="C159" i="8"/>
  <c r="Y159" i="8" s="1"/>
  <c r="AO157" i="8" l="1"/>
  <c r="A158" i="8"/>
  <c r="X158" i="8"/>
  <c r="Q157" i="8"/>
  <c r="P158" i="8" s="1"/>
  <c r="AH158" i="8"/>
  <c r="AG158" i="8"/>
  <c r="AI158" i="8"/>
  <c r="AD158" i="8"/>
  <c r="AC158" i="8"/>
  <c r="B159" i="8"/>
  <c r="M159" i="8" s="1"/>
  <c r="C160" i="8"/>
  <c r="Y160" i="8" s="1"/>
  <c r="AO158" i="8" l="1"/>
  <c r="A159" i="8"/>
  <c r="X159" i="8"/>
  <c r="Q158" i="8"/>
  <c r="P159" i="8" s="1"/>
  <c r="AI159" i="8"/>
  <c r="AH159" i="8"/>
  <c r="AG159" i="8"/>
  <c r="C161" i="8"/>
  <c r="Y161" i="8" s="1"/>
  <c r="B160" i="8"/>
  <c r="M160" i="8" s="1"/>
  <c r="AD159" i="8"/>
  <c r="AC159" i="8"/>
  <c r="AO159" i="8" l="1"/>
  <c r="A160" i="8"/>
  <c r="X160" i="8"/>
  <c r="Q159" i="8"/>
  <c r="P160" i="8" s="1"/>
  <c r="AG160" i="8"/>
  <c r="AH160" i="8"/>
  <c r="AI160" i="8"/>
  <c r="AD160" i="8"/>
  <c r="AC160" i="8"/>
  <c r="B161" i="8"/>
  <c r="M161" i="8" s="1"/>
  <c r="C162" i="8"/>
  <c r="Y162" i="8" s="1"/>
  <c r="AO160" i="8" l="1"/>
  <c r="A161" i="8"/>
  <c r="X161" i="8"/>
  <c r="Q160" i="8"/>
  <c r="P161" i="8" s="1"/>
  <c r="AG161" i="8"/>
  <c r="AI161" i="8"/>
  <c r="AH161" i="8"/>
  <c r="AD161" i="8"/>
  <c r="AC161" i="8"/>
  <c r="C163" i="8"/>
  <c r="Y163" i="8" s="1"/>
  <c r="B162" i="8"/>
  <c r="M162" i="8" s="1"/>
  <c r="AO161" i="8" l="1"/>
  <c r="A162" i="8"/>
  <c r="X162" i="8"/>
  <c r="Q161" i="8"/>
  <c r="P162" i="8" s="1"/>
  <c r="AH162" i="8"/>
  <c r="AG162" i="8"/>
  <c r="AI162" i="8"/>
  <c r="C164" i="8"/>
  <c r="Y164" i="8" s="1"/>
  <c r="B163" i="8"/>
  <c r="M163" i="8" s="1"/>
  <c r="AD162" i="8"/>
  <c r="AC162" i="8"/>
  <c r="AO162" i="8" l="1"/>
  <c r="A163" i="8"/>
  <c r="X163" i="8"/>
  <c r="Q162" i="8"/>
  <c r="P163" i="8" s="1"/>
  <c r="AI163" i="8"/>
  <c r="AH163" i="8"/>
  <c r="AG163" i="8"/>
  <c r="AD163" i="8"/>
  <c r="AC163" i="8"/>
  <c r="C165" i="8"/>
  <c r="B164" i="8"/>
  <c r="M164" i="8" s="1"/>
  <c r="Y165" i="8" l="1"/>
  <c r="AO163" i="8"/>
  <c r="A164" i="8"/>
  <c r="X164" i="8"/>
  <c r="Q163" i="8"/>
  <c r="P164" i="8" s="1"/>
  <c r="AG164" i="8"/>
  <c r="AH164" i="8"/>
  <c r="AI164" i="8"/>
  <c r="C166" i="8"/>
  <c r="Y166" i="8" s="1"/>
  <c r="B165" i="8"/>
  <c r="M165" i="8" s="1"/>
  <c r="AC164" i="8"/>
  <c r="AD164" i="8"/>
  <c r="AO164" i="8" l="1"/>
  <c r="A165" i="8"/>
  <c r="X165" i="8"/>
  <c r="Q164" i="8"/>
  <c r="P165" i="8" s="1"/>
  <c r="AG165" i="8"/>
  <c r="AH165" i="8"/>
  <c r="AI165" i="8"/>
  <c r="AD165" i="8"/>
  <c r="AC165" i="8"/>
  <c r="C167" i="8"/>
  <c r="Y167" i="8" s="1"/>
  <c r="B166" i="8"/>
  <c r="M166" i="8" s="1"/>
  <c r="AO165" i="8" l="1"/>
  <c r="A166" i="8"/>
  <c r="X166" i="8"/>
  <c r="Q165" i="8"/>
  <c r="P166" i="8" s="1"/>
  <c r="AH166" i="8"/>
  <c r="AI166" i="8"/>
  <c r="AG166" i="8"/>
  <c r="B167" i="8"/>
  <c r="M167" i="8" s="1"/>
  <c r="C168" i="8"/>
  <c r="Y168" i="8" s="1"/>
  <c r="AD166" i="8"/>
  <c r="AC166" i="8"/>
  <c r="AO166" i="8" l="1"/>
  <c r="A167" i="8"/>
  <c r="X167" i="8"/>
  <c r="Q166" i="8"/>
  <c r="P167" i="8" s="1"/>
  <c r="AI167" i="8"/>
  <c r="AG167" i="8"/>
  <c r="AH167" i="8"/>
  <c r="B168" i="8"/>
  <c r="M168" i="8" s="1"/>
  <c r="C169" i="8"/>
  <c r="Y169" i="8" s="1"/>
  <c r="AD167" i="8"/>
  <c r="AC167" i="8"/>
  <c r="AO167" i="8" l="1"/>
  <c r="A168" i="8"/>
  <c r="X168" i="8"/>
  <c r="Q167" i="8"/>
  <c r="P168" i="8" s="1"/>
  <c r="AI168" i="8"/>
  <c r="AG168" i="8"/>
  <c r="AH168" i="8"/>
  <c r="B169" i="8"/>
  <c r="M169" i="8" s="1"/>
  <c r="C170" i="8"/>
  <c r="Y170" i="8" s="1"/>
  <c r="AD168" i="8"/>
  <c r="AC168" i="8"/>
  <c r="AO168" i="8" l="1"/>
  <c r="A169" i="8"/>
  <c r="X169" i="8"/>
  <c r="Q168" i="8"/>
  <c r="P169" i="8" s="1"/>
  <c r="AG169" i="8"/>
  <c r="AH169" i="8"/>
  <c r="AI169" i="8"/>
  <c r="C171" i="8"/>
  <c r="Y171" i="8" s="1"/>
  <c r="B170" i="8"/>
  <c r="M170" i="8" s="1"/>
  <c r="AD169" i="8"/>
  <c r="AC169" i="8"/>
  <c r="AO169" i="8" l="1"/>
  <c r="A170" i="8"/>
  <c r="X170" i="8"/>
  <c r="Q169" i="8"/>
  <c r="P170" i="8" s="1"/>
  <c r="AH170" i="8"/>
  <c r="AI170" i="8"/>
  <c r="AG170" i="8"/>
  <c r="AD170" i="8"/>
  <c r="AC170" i="8"/>
  <c r="B171" i="8"/>
  <c r="M171" i="8" s="1"/>
  <c r="C172" i="8"/>
  <c r="Y172" i="8" s="1"/>
  <c r="AO170" i="8" l="1"/>
  <c r="A171" i="8"/>
  <c r="X171" i="8"/>
  <c r="Q170" i="8"/>
  <c r="P171" i="8" s="1"/>
  <c r="AI171" i="8"/>
  <c r="AG171" i="8"/>
  <c r="AH171" i="8"/>
  <c r="C173" i="8"/>
  <c r="Y173" i="8" s="1"/>
  <c r="B172" i="8"/>
  <c r="M172" i="8" s="1"/>
  <c r="AD171" i="8"/>
  <c r="AC171" i="8"/>
  <c r="AO171" i="8" l="1"/>
  <c r="A172" i="8"/>
  <c r="X172" i="8"/>
  <c r="Q171" i="8"/>
  <c r="P172" i="8" s="1"/>
  <c r="AH172" i="8"/>
  <c r="AI172" i="8"/>
  <c r="AG172" i="8"/>
  <c r="AD172" i="8"/>
  <c r="AC172" i="8"/>
  <c r="C174" i="8"/>
  <c r="Y174" i="8" s="1"/>
  <c r="B173" i="8"/>
  <c r="M173" i="8" s="1"/>
  <c r="AO172" i="8" l="1"/>
  <c r="A173" i="8"/>
  <c r="X173" i="8"/>
  <c r="Q172" i="8"/>
  <c r="P173" i="8" s="1"/>
  <c r="AG173" i="8"/>
  <c r="AI173" i="8"/>
  <c r="AH173" i="8"/>
  <c r="AD173" i="8"/>
  <c r="AC173" i="8"/>
  <c r="B174" i="8"/>
  <c r="M174" i="8" s="1"/>
  <c r="C175" i="8"/>
  <c r="Y175" i="8" s="1"/>
  <c r="AO173" i="8" l="1"/>
  <c r="A174" i="8"/>
  <c r="X174" i="8"/>
  <c r="Q173" i="8"/>
  <c r="P174" i="8" s="1"/>
  <c r="AH174" i="8"/>
  <c r="AG174" i="8"/>
  <c r="AI174" i="8"/>
  <c r="AD174" i="8"/>
  <c r="AC174" i="8"/>
  <c r="C176" i="8"/>
  <c r="Y176" i="8" s="1"/>
  <c r="B175" i="8"/>
  <c r="M175" i="8" s="1"/>
  <c r="AO174" i="8" l="1"/>
  <c r="A175" i="8"/>
  <c r="X175" i="8"/>
  <c r="Q174" i="8"/>
  <c r="P175" i="8" s="1"/>
  <c r="AI175" i="8"/>
  <c r="AG175" i="8"/>
  <c r="AH175" i="8"/>
  <c r="B176" i="8"/>
  <c r="M176" i="8" s="1"/>
  <c r="C177" i="8"/>
  <c r="AD175" i="8"/>
  <c r="AC175" i="8"/>
  <c r="Y177" i="8" l="1"/>
  <c r="AO175" i="8"/>
  <c r="A176" i="8"/>
  <c r="X176" i="8"/>
  <c r="Q175" i="8"/>
  <c r="P176" i="8" s="1"/>
  <c r="AG176" i="8"/>
  <c r="AH176" i="8"/>
  <c r="AI176" i="8"/>
  <c r="C178" i="8"/>
  <c r="Y178" i="8" s="1"/>
  <c r="B177" i="8"/>
  <c r="M177" i="8" s="1"/>
  <c r="AD176" i="8"/>
  <c r="AC176" i="8"/>
  <c r="AO176" i="8" l="1"/>
  <c r="A177" i="8"/>
  <c r="X177" i="8"/>
  <c r="Q176" i="8"/>
  <c r="P177" i="8" s="1"/>
  <c r="AG177" i="8"/>
  <c r="AI177" i="8"/>
  <c r="AH177" i="8"/>
  <c r="AD177" i="8"/>
  <c r="AC177" i="8"/>
  <c r="B178" i="8"/>
  <c r="M178" i="8" s="1"/>
  <c r="C179" i="8"/>
  <c r="Y179" i="8" s="1"/>
  <c r="AO177" i="8" l="1"/>
  <c r="A178" i="8"/>
  <c r="X178" i="8"/>
  <c r="Q177" i="8"/>
  <c r="P178" i="8" s="1"/>
  <c r="AH178" i="8"/>
  <c r="AG178" i="8"/>
  <c r="AI178" i="8"/>
  <c r="AD178" i="8"/>
  <c r="AC178" i="8"/>
  <c r="C180" i="8"/>
  <c r="Y180" i="8" s="1"/>
  <c r="B179" i="8"/>
  <c r="M179" i="8" s="1"/>
  <c r="AO178" i="8" l="1"/>
  <c r="A179" i="8"/>
  <c r="X179" i="8"/>
  <c r="Q178" i="8"/>
  <c r="P179" i="8" s="1"/>
  <c r="AI179" i="8"/>
  <c r="AH179" i="8"/>
  <c r="AG179" i="8"/>
  <c r="C181" i="8"/>
  <c r="Y181" i="8" s="1"/>
  <c r="B180" i="8"/>
  <c r="M180" i="8" s="1"/>
  <c r="AD179" i="8"/>
  <c r="AC179" i="8"/>
  <c r="AO179" i="8" l="1"/>
  <c r="A180" i="8"/>
  <c r="X180" i="8"/>
  <c r="Q179" i="8"/>
  <c r="P180" i="8" s="1"/>
  <c r="AG180" i="8"/>
  <c r="AI180" i="8"/>
  <c r="AH180" i="8"/>
  <c r="AC180" i="8"/>
  <c r="AD180" i="8"/>
  <c r="B181" i="8"/>
  <c r="M181" i="8" s="1"/>
  <c r="C182" i="8"/>
  <c r="Y182" i="8" s="1"/>
  <c r="AO180" i="8" l="1"/>
  <c r="A181" i="8"/>
  <c r="X181" i="8"/>
  <c r="Q180" i="8"/>
  <c r="P181" i="8" s="1"/>
  <c r="AG181" i="8"/>
  <c r="AH181" i="8"/>
  <c r="AI181" i="8"/>
  <c r="AD181" i="8"/>
  <c r="AC181" i="8"/>
  <c r="B182" i="8"/>
  <c r="M182" i="8" s="1"/>
  <c r="C183" i="8"/>
  <c r="Y183" i="8" s="1"/>
  <c r="AO181" i="8" l="1"/>
  <c r="A182" i="8"/>
  <c r="X182" i="8"/>
  <c r="Q181" i="8"/>
  <c r="P182" i="8" s="1"/>
  <c r="AH182" i="8"/>
  <c r="AG182" i="8"/>
  <c r="AI182" i="8"/>
  <c r="AD182" i="8"/>
  <c r="AC182" i="8"/>
  <c r="B183" i="8"/>
  <c r="M183" i="8" s="1"/>
  <c r="C184" i="8"/>
  <c r="Y184" i="8" s="1"/>
  <c r="AO182" i="8" l="1"/>
  <c r="A183" i="8"/>
  <c r="X183" i="8"/>
  <c r="Q182" i="8"/>
  <c r="P183" i="8" s="1"/>
  <c r="AI183" i="8"/>
  <c r="AG183" i="8"/>
  <c r="AH183" i="8"/>
  <c r="B184" i="8"/>
  <c r="M184" i="8" s="1"/>
  <c r="C185" i="8"/>
  <c r="Y185" i="8" s="1"/>
  <c r="AD183" i="8"/>
  <c r="AC183" i="8"/>
  <c r="AO183" i="8" l="1"/>
  <c r="A184" i="8"/>
  <c r="X184" i="8"/>
  <c r="Q183" i="8"/>
  <c r="P184" i="8" s="1"/>
  <c r="AI184" i="8"/>
  <c r="AG184" i="8"/>
  <c r="AH184" i="8"/>
  <c r="B185" i="8"/>
  <c r="M185" i="8" s="1"/>
  <c r="C186" i="8"/>
  <c r="Y186" i="8" s="1"/>
  <c r="AC184" i="8"/>
  <c r="AD184" i="8"/>
  <c r="AO184" i="8" l="1"/>
  <c r="A185" i="8"/>
  <c r="X185" i="8"/>
  <c r="Q184" i="8"/>
  <c r="P185" i="8" s="1"/>
  <c r="AG185" i="8"/>
  <c r="AI185" i="8"/>
  <c r="AH185" i="8"/>
  <c r="B186" i="8"/>
  <c r="M186" i="8" s="1"/>
  <c r="C187" i="8"/>
  <c r="Y187" i="8" s="1"/>
  <c r="AD185" i="8"/>
  <c r="AC185" i="8"/>
  <c r="AO185" i="8" l="1"/>
  <c r="A186" i="8"/>
  <c r="X186" i="8"/>
  <c r="Q185" i="8"/>
  <c r="P186" i="8" s="1"/>
  <c r="AH186" i="8"/>
  <c r="AI186" i="8"/>
  <c r="AG186" i="8"/>
  <c r="B187" i="8"/>
  <c r="M187" i="8" s="1"/>
  <c r="C188" i="8"/>
  <c r="Y188" i="8" s="1"/>
  <c r="AD186" i="8"/>
  <c r="AC186" i="8"/>
  <c r="AO186" i="8" l="1"/>
  <c r="A187" i="8"/>
  <c r="X187" i="8"/>
  <c r="Q186" i="8"/>
  <c r="P187" i="8" s="1"/>
  <c r="AI187" i="8"/>
  <c r="AG187" i="8"/>
  <c r="AH187" i="8"/>
  <c r="C189" i="8"/>
  <c r="Y189" i="8" s="1"/>
  <c r="B188" i="8"/>
  <c r="M188" i="8" s="1"/>
  <c r="AD187" i="8"/>
  <c r="AC187" i="8"/>
  <c r="AO187" i="8" l="1"/>
  <c r="A188" i="8"/>
  <c r="X188" i="8"/>
  <c r="Q187" i="8"/>
  <c r="P188" i="8" s="1"/>
  <c r="AH188" i="8"/>
  <c r="AG188" i="8"/>
  <c r="AI188" i="8"/>
  <c r="AD188" i="8"/>
  <c r="AC188" i="8"/>
  <c r="C190" i="8"/>
  <c r="Y190" i="8" s="1"/>
  <c r="B189" i="8"/>
  <c r="M189" i="8" s="1"/>
  <c r="AO188" i="8" l="1"/>
  <c r="A189" i="8"/>
  <c r="X189" i="8"/>
  <c r="Q188" i="8"/>
  <c r="P189" i="8" s="1"/>
  <c r="AG189" i="8"/>
  <c r="AH189" i="8"/>
  <c r="AI189" i="8"/>
  <c r="AD189" i="8"/>
  <c r="AC189" i="8"/>
  <c r="C191" i="8"/>
  <c r="Y191" i="8" s="1"/>
  <c r="B190" i="8"/>
  <c r="M190" i="8" s="1"/>
  <c r="AO189" i="8" l="1"/>
  <c r="A190" i="8"/>
  <c r="X190" i="8"/>
  <c r="Q189" i="8"/>
  <c r="P190" i="8" s="1"/>
  <c r="AH190" i="8"/>
  <c r="AG190" i="8"/>
  <c r="AI190" i="8"/>
  <c r="AD190" i="8"/>
  <c r="AC190" i="8"/>
  <c r="C192" i="8"/>
  <c r="Y192" i="8" s="1"/>
  <c r="B191" i="8"/>
  <c r="M191" i="8" s="1"/>
  <c r="AO190" i="8" l="1"/>
  <c r="A191" i="8"/>
  <c r="X191" i="8"/>
  <c r="Q190" i="8"/>
  <c r="P191" i="8" s="1"/>
  <c r="AI191" i="8"/>
  <c r="AG191" i="8"/>
  <c r="AH191" i="8"/>
  <c r="AD191" i="8"/>
  <c r="AC191" i="8"/>
  <c r="C193" i="8"/>
  <c r="Y193" i="8" s="1"/>
  <c r="B192" i="8"/>
  <c r="M192" i="8" s="1"/>
  <c r="AO191" i="8" l="1"/>
  <c r="A192" i="8"/>
  <c r="X192" i="8"/>
  <c r="Q191" i="8"/>
  <c r="P192" i="8" s="1"/>
  <c r="AG192" i="8"/>
  <c r="AI192" i="8"/>
  <c r="AH192" i="8"/>
  <c r="AD192" i="8"/>
  <c r="AC192" i="8"/>
  <c r="C194" i="8"/>
  <c r="Y194" i="8" s="1"/>
  <c r="B193" i="8"/>
  <c r="M193" i="8" s="1"/>
  <c r="AO192" i="8" l="1"/>
  <c r="A193" i="8"/>
  <c r="X193" i="8"/>
  <c r="Q192" i="8"/>
  <c r="P193" i="8" s="1"/>
  <c r="AG193" i="8"/>
  <c r="AI193" i="8"/>
  <c r="AH193" i="8"/>
  <c r="AD193" i="8"/>
  <c r="AC193" i="8"/>
  <c r="B194" i="8"/>
  <c r="M194" i="8" s="1"/>
  <c r="C195" i="8"/>
  <c r="Y195" i="8" s="1"/>
  <c r="AO193" i="8" l="1"/>
  <c r="A194" i="8"/>
  <c r="X194" i="8"/>
  <c r="Q193" i="8"/>
  <c r="P194" i="8" s="1"/>
  <c r="AH194" i="8"/>
  <c r="AG194" i="8"/>
  <c r="AI194" i="8"/>
  <c r="C196" i="8"/>
  <c r="Y196" i="8" s="1"/>
  <c r="B195" i="8"/>
  <c r="M195" i="8" s="1"/>
  <c r="AD194" i="8"/>
  <c r="AC194" i="8"/>
  <c r="AO194" i="8" l="1"/>
  <c r="A195" i="8"/>
  <c r="X195" i="8"/>
  <c r="Q194" i="8"/>
  <c r="P195" i="8" s="1"/>
  <c r="AH195" i="8"/>
  <c r="AG195" i="8"/>
  <c r="AI195" i="8"/>
  <c r="AD195" i="8"/>
  <c r="AC195" i="8"/>
  <c r="B196" i="8"/>
  <c r="M196" i="8" s="1"/>
  <c r="C197" i="8"/>
  <c r="Y197" i="8" s="1"/>
  <c r="AO195" i="8" l="1"/>
  <c r="A196" i="8"/>
  <c r="X196" i="8"/>
  <c r="Q195" i="8"/>
  <c r="P196" i="8" s="1"/>
  <c r="AI196" i="8"/>
  <c r="AG196" i="8"/>
  <c r="AH196" i="8"/>
  <c r="C198" i="8"/>
  <c r="Y198" i="8" s="1"/>
  <c r="B197" i="8"/>
  <c r="M197" i="8" s="1"/>
  <c r="AC196" i="8"/>
  <c r="AD196" i="8"/>
  <c r="AO196" i="8" l="1"/>
  <c r="A197" i="8"/>
  <c r="X197" i="8"/>
  <c r="Q196" i="8"/>
  <c r="P197" i="8" s="1"/>
  <c r="AG197" i="8"/>
  <c r="AH197" i="8"/>
  <c r="AI197" i="8"/>
  <c r="AD197" i="8"/>
  <c r="AC197" i="8"/>
  <c r="B198" i="8"/>
  <c r="M198" i="8" s="1"/>
  <c r="C199" i="8"/>
  <c r="Y199" i="8" s="1"/>
  <c r="AO197" i="8" l="1"/>
  <c r="A198" i="8"/>
  <c r="X198" i="8"/>
  <c r="Q197" i="8"/>
  <c r="P198" i="8" s="1"/>
  <c r="AG198" i="8"/>
  <c r="AI198" i="8"/>
  <c r="AH198" i="8"/>
  <c r="B199" i="8"/>
  <c r="M199" i="8" s="1"/>
  <c r="C200" i="8"/>
  <c r="Y200" i="8" s="1"/>
  <c r="AD198" i="8"/>
  <c r="AC198" i="8"/>
  <c r="AO198" i="8" l="1"/>
  <c r="A199" i="8"/>
  <c r="X199" i="8"/>
  <c r="Q198" i="8"/>
  <c r="P199" i="8" s="1"/>
  <c r="AH199" i="8"/>
  <c r="AG199" i="8"/>
  <c r="AI199" i="8"/>
  <c r="B200" i="8"/>
  <c r="M200" i="8" s="1"/>
  <c r="C201" i="8"/>
  <c r="Y201" i="8" s="1"/>
  <c r="AD199" i="8"/>
  <c r="AC199" i="8"/>
  <c r="AO199" i="8" l="1"/>
  <c r="A200" i="8"/>
  <c r="X200" i="8"/>
  <c r="Q199" i="8"/>
  <c r="P200" i="8" s="1"/>
  <c r="AI200" i="8"/>
  <c r="AH200" i="8"/>
  <c r="AG200" i="8"/>
  <c r="C202" i="8"/>
  <c r="Y202" i="8" s="1"/>
  <c r="B201" i="8"/>
  <c r="M201" i="8" s="1"/>
  <c r="AC200" i="8"/>
  <c r="AD200" i="8"/>
  <c r="AO200" i="8" l="1"/>
  <c r="A201" i="8"/>
  <c r="X201" i="8"/>
  <c r="Q200" i="8"/>
  <c r="P201" i="8" s="1"/>
  <c r="AG201" i="8"/>
  <c r="AH201" i="8"/>
  <c r="AI201" i="8"/>
  <c r="AD201" i="8"/>
  <c r="AC201" i="8"/>
  <c r="B202" i="8"/>
  <c r="M202" i="8" s="1"/>
  <c r="C203" i="8"/>
  <c r="Y203" i="8" s="1"/>
  <c r="AO201" i="8" l="1"/>
  <c r="A202" i="8"/>
  <c r="X202" i="8"/>
  <c r="Q201" i="8"/>
  <c r="P202" i="8" s="1"/>
  <c r="AG202" i="8"/>
  <c r="AH202" i="8"/>
  <c r="AI202" i="8"/>
  <c r="C204" i="8"/>
  <c r="Y204" i="8" s="1"/>
  <c r="B203" i="8"/>
  <c r="M203" i="8" s="1"/>
  <c r="AD202" i="8"/>
  <c r="AC202" i="8"/>
  <c r="AO202" i="8" l="1"/>
  <c r="A203" i="8"/>
  <c r="X203" i="8"/>
  <c r="Q202" i="8"/>
  <c r="P203" i="8" s="1"/>
  <c r="AH203" i="8"/>
  <c r="AG203" i="8"/>
  <c r="AI203" i="8"/>
  <c r="AD203" i="8"/>
  <c r="AC203" i="8"/>
  <c r="B204" i="8"/>
  <c r="M204" i="8" s="1"/>
  <c r="C205" i="8"/>
  <c r="Y205" i="8" s="1"/>
  <c r="AO203" i="8" l="1"/>
  <c r="A204" i="8"/>
  <c r="X204" i="8"/>
  <c r="Q203" i="8"/>
  <c r="P204" i="8" s="1"/>
  <c r="AI204" i="8"/>
  <c r="AG204" i="8"/>
  <c r="AH204" i="8"/>
  <c r="C206" i="8"/>
  <c r="Y206" i="8" s="1"/>
  <c r="B205" i="8"/>
  <c r="M205" i="8" s="1"/>
  <c r="AD204" i="8"/>
  <c r="AC204" i="8"/>
  <c r="AO204" i="8" l="1"/>
  <c r="A205" i="8"/>
  <c r="X205" i="8"/>
  <c r="Q204" i="8"/>
  <c r="P205" i="8" s="1"/>
  <c r="AI205" i="8"/>
  <c r="AG205" i="8"/>
  <c r="AH205" i="8"/>
  <c r="AD205" i="8"/>
  <c r="AC205" i="8"/>
  <c r="B206" i="8"/>
  <c r="M206" i="8" s="1"/>
  <c r="C207" i="8"/>
  <c r="Y207" i="8" s="1"/>
  <c r="AO205" i="8" l="1"/>
  <c r="A206" i="8"/>
  <c r="X206" i="8"/>
  <c r="Q205" i="8"/>
  <c r="P206" i="8" s="1"/>
  <c r="AG206" i="8"/>
  <c r="AH206" i="8"/>
  <c r="AI206" i="8"/>
  <c r="C208" i="8"/>
  <c r="Y208" i="8" s="1"/>
  <c r="B207" i="8"/>
  <c r="M207" i="8" s="1"/>
  <c r="AD206" i="8"/>
  <c r="AC206" i="8"/>
  <c r="AO206" i="8" l="1"/>
  <c r="A207" i="8"/>
  <c r="X207" i="8"/>
  <c r="Q206" i="8"/>
  <c r="P207" i="8" s="1"/>
  <c r="AH207" i="8"/>
  <c r="AI207" i="8"/>
  <c r="AG207" i="8"/>
  <c r="AD207" i="8"/>
  <c r="AC207" i="8"/>
  <c r="C209" i="8"/>
  <c r="Y209" i="8" s="1"/>
  <c r="B208" i="8"/>
  <c r="M208" i="8" s="1"/>
  <c r="AO207" i="8" l="1"/>
  <c r="A208" i="8"/>
  <c r="X208" i="8"/>
  <c r="Q207" i="8"/>
  <c r="P208" i="8" s="1"/>
  <c r="AI208" i="8"/>
  <c r="AG208" i="8"/>
  <c r="AH208" i="8"/>
  <c r="AD208" i="8"/>
  <c r="AC208" i="8"/>
  <c r="B209" i="8"/>
  <c r="M209" i="8" s="1"/>
  <c r="C210" i="8"/>
  <c r="Y210" i="8" s="1"/>
  <c r="AO208" i="8" l="1"/>
  <c r="A209" i="8"/>
  <c r="X209" i="8"/>
  <c r="Q208" i="8"/>
  <c r="P209" i="8" s="1"/>
  <c r="AH209" i="8"/>
  <c r="AI209" i="8"/>
  <c r="AG209" i="8"/>
  <c r="AD209" i="8"/>
  <c r="AC209" i="8"/>
  <c r="B210" i="8"/>
  <c r="M210" i="8" s="1"/>
  <c r="C211" i="8"/>
  <c r="Y211" i="8" s="1"/>
  <c r="AO209" i="8" l="1"/>
  <c r="A210" i="8"/>
  <c r="X210" i="8"/>
  <c r="Q209" i="8"/>
  <c r="P210" i="8" s="1"/>
  <c r="AG210" i="8"/>
  <c r="AH210" i="8"/>
  <c r="AI210" i="8"/>
  <c r="C212" i="8"/>
  <c r="Y212" i="8" s="1"/>
  <c r="B211" i="8"/>
  <c r="M211" i="8" s="1"/>
  <c r="AD210" i="8"/>
  <c r="AC210" i="8"/>
  <c r="AO210" i="8" l="1"/>
  <c r="A211" i="8"/>
  <c r="X211" i="8"/>
  <c r="Q210" i="8"/>
  <c r="P211" i="8" s="1"/>
  <c r="AH211" i="8"/>
  <c r="AG211" i="8"/>
  <c r="AI211" i="8"/>
  <c r="AD211" i="8"/>
  <c r="AC211" i="8"/>
  <c r="B212" i="8"/>
  <c r="M212" i="8" s="1"/>
  <c r="C213" i="8"/>
  <c r="Y213" i="8" s="1"/>
  <c r="AO211" i="8" l="1"/>
  <c r="A212" i="8"/>
  <c r="X212" i="8"/>
  <c r="Q211" i="8"/>
  <c r="P212" i="8" s="1"/>
  <c r="AI212" i="8"/>
  <c r="AG212" i="8"/>
  <c r="AH212" i="8"/>
  <c r="C214" i="8"/>
  <c r="Y214" i="8" s="1"/>
  <c r="B213" i="8"/>
  <c r="M213" i="8" s="1"/>
  <c r="AC212" i="8"/>
  <c r="AD212" i="8"/>
  <c r="AO212" i="8" l="1"/>
  <c r="A213" i="8"/>
  <c r="X213" i="8"/>
  <c r="Q212" i="8"/>
  <c r="P213" i="8" s="1"/>
  <c r="AG213" i="8"/>
  <c r="AH213" i="8"/>
  <c r="AI213" i="8"/>
  <c r="AD213" i="8"/>
  <c r="AC213" i="8"/>
  <c r="C215" i="8"/>
  <c r="Y215" i="8" s="1"/>
  <c r="B214" i="8"/>
  <c r="M214" i="8" s="1"/>
  <c r="AO213" i="8" l="1"/>
  <c r="A214" i="8"/>
  <c r="X214" i="8"/>
  <c r="Q213" i="8"/>
  <c r="P214" i="8" s="1"/>
  <c r="AG214" i="8"/>
  <c r="AI214" i="8"/>
  <c r="AH214" i="8"/>
  <c r="AD214" i="8"/>
  <c r="AC214" i="8"/>
  <c r="C216" i="8"/>
  <c r="Y216" i="8" s="1"/>
  <c r="B215" i="8"/>
  <c r="M215" i="8" s="1"/>
  <c r="AO214" i="8" l="1"/>
  <c r="A215" i="8"/>
  <c r="X215" i="8"/>
  <c r="Q214" i="8"/>
  <c r="P215" i="8" s="1"/>
  <c r="AH215" i="8"/>
  <c r="AG215" i="8"/>
  <c r="AI215" i="8"/>
  <c r="AD215" i="8"/>
  <c r="AC215" i="8"/>
  <c r="B216" i="8"/>
  <c r="M216" i="8" s="1"/>
  <c r="C217" i="8"/>
  <c r="Y217" i="8" s="1"/>
  <c r="AO215" i="8" l="1"/>
  <c r="A216" i="8"/>
  <c r="X216" i="8"/>
  <c r="Q215" i="8"/>
  <c r="P216" i="8" s="1"/>
  <c r="AI216" i="8"/>
  <c r="AH216" i="8"/>
  <c r="AG216" i="8"/>
  <c r="C218" i="8"/>
  <c r="Y218" i="8" s="1"/>
  <c r="B217" i="8"/>
  <c r="M217" i="8" s="1"/>
  <c r="AD216" i="8"/>
  <c r="AC216" i="8"/>
  <c r="AO216" i="8" l="1"/>
  <c r="A217" i="8"/>
  <c r="X217" i="8"/>
  <c r="AG217" i="8"/>
  <c r="AH217" i="8"/>
  <c r="AI217" i="8"/>
  <c r="Q216" i="8"/>
  <c r="P217" i="8" s="1"/>
  <c r="AD217" i="8"/>
  <c r="AC217" i="8"/>
  <c r="B218" i="8"/>
  <c r="M218" i="8" s="1"/>
  <c r="C219" i="8"/>
  <c r="Y219" i="8" s="1"/>
  <c r="AO217" i="8" l="1"/>
  <c r="A218" i="8"/>
  <c r="X218" i="8"/>
  <c r="AG218" i="8"/>
  <c r="AH218" i="8"/>
  <c r="AI218" i="8"/>
  <c r="Q217" i="8"/>
  <c r="P218" i="8" s="1"/>
  <c r="C220" i="8"/>
  <c r="Y220" i="8" s="1"/>
  <c r="B219" i="8"/>
  <c r="M219" i="8" s="1"/>
  <c r="AD218" i="8"/>
  <c r="AC218" i="8"/>
  <c r="AO218" i="8" l="1"/>
  <c r="A219" i="8"/>
  <c r="X219" i="8"/>
  <c r="Q218" i="8"/>
  <c r="P219" i="8" s="1"/>
  <c r="AH219" i="8"/>
  <c r="AG219" i="8"/>
  <c r="AI219" i="8"/>
  <c r="AD219" i="8"/>
  <c r="AC219" i="8"/>
  <c r="C221" i="8"/>
  <c r="Y221" i="8" s="1"/>
  <c r="B220" i="8"/>
  <c r="M220" i="8" s="1"/>
  <c r="AO219" i="8" l="1"/>
  <c r="A220" i="8"/>
  <c r="X220" i="8"/>
  <c r="Q219" i="8"/>
  <c r="P220" i="8" s="1"/>
  <c r="AI220" i="8"/>
  <c r="AG220" i="8"/>
  <c r="AH220" i="8"/>
  <c r="AD220" i="8"/>
  <c r="AC220" i="8"/>
  <c r="C222" i="8"/>
  <c r="Y222" i="8" s="1"/>
  <c r="B221" i="8"/>
  <c r="M221" i="8" s="1"/>
  <c r="AO220" i="8" l="1"/>
  <c r="A221" i="8"/>
  <c r="X221" i="8"/>
  <c r="Q220" i="8"/>
  <c r="P221" i="8" s="1"/>
  <c r="AI221" i="8"/>
  <c r="AG221" i="8"/>
  <c r="AH221" i="8"/>
  <c r="AD221" i="8"/>
  <c r="AC221" i="8"/>
  <c r="B222" i="8"/>
  <c r="M222" i="8" s="1"/>
  <c r="C223" i="8"/>
  <c r="Y223" i="8" s="1"/>
  <c r="AO221" i="8" l="1"/>
  <c r="A222" i="8"/>
  <c r="X222" i="8"/>
  <c r="AG222" i="8"/>
  <c r="AH222" i="8"/>
  <c r="AI222" i="8"/>
  <c r="Q221" i="8"/>
  <c r="P222" i="8" s="1"/>
  <c r="C224" i="8"/>
  <c r="Y224" i="8" s="1"/>
  <c r="B223" i="8"/>
  <c r="M223" i="8" s="1"/>
  <c r="AD222" i="8"/>
  <c r="AC222" i="8"/>
  <c r="AO222" i="8" l="1"/>
  <c r="A223" i="8"/>
  <c r="X223" i="8"/>
  <c r="AH223" i="8"/>
  <c r="AI223" i="8"/>
  <c r="AG223" i="8"/>
  <c r="Q222" i="8"/>
  <c r="P223" i="8" s="1"/>
  <c r="AD223" i="8"/>
  <c r="AC223" i="8"/>
  <c r="B224" i="8"/>
  <c r="M224" i="8" s="1"/>
  <c r="C225" i="8"/>
  <c r="Y225" i="8" s="1"/>
  <c r="AO223" i="8" l="1"/>
  <c r="A224" i="8"/>
  <c r="X224" i="8"/>
  <c r="AI224" i="8"/>
  <c r="AG224" i="8"/>
  <c r="AH224" i="8"/>
  <c r="Q223" i="8"/>
  <c r="P224" i="8" s="1"/>
  <c r="C226" i="8"/>
  <c r="Y226" i="8" s="1"/>
  <c r="B225" i="8"/>
  <c r="M225" i="8" s="1"/>
  <c r="AD224" i="8"/>
  <c r="AC224" i="8"/>
  <c r="AO224" i="8" l="1"/>
  <c r="A225" i="8"/>
  <c r="X225" i="8"/>
  <c r="Q224" i="8"/>
  <c r="P225" i="8" s="1"/>
  <c r="AH225" i="8"/>
  <c r="AI225" i="8"/>
  <c r="AG225" i="8"/>
  <c r="AD225" i="8"/>
  <c r="AC225" i="8"/>
  <c r="B226" i="8"/>
  <c r="M226" i="8" s="1"/>
  <c r="C227" i="8"/>
  <c r="Y227" i="8" s="1"/>
  <c r="AO225" i="8" l="1"/>
  <c r="A226" i="8"/>
  <c r="X226" i="8"/>
  <c r="AG226" i="8"/>
  <c r="AH226" i="8"/>
  <c r="AI226" i="8"/>
  <c r="Q225" i="8"/>
  <c r="P226" i="8" s="1"/>
  <c r="C228" i="8"/>
  <c r="Y228" i="8" s="1"/>
  <c r="B227" i="8"/>
  <c r="M227" i="8" s="1"/>
  <c r="AD226" i="8"/>
  <c r="AC226" i="8"/>
  <c r="AO226" i="8" l="1"/>
  <c r="A227" i="8"/>
  <c r="X227" i="8"/>
  <c r="Q226" i="8"/>
  <c r="P227" i="8" s="1"/>
  <c r="AH227" i="8"/>
  <c r="AG227" i="8"/>
  <c r="AI227" i="8"/>
  <c r="AD227" i="8"/>
  <c r="AC227" i="8"/>
  <c r="C229" i="8"/>
  <c r="Y229" i="8" s="1"/>
  <c r="B228" i="8"/>
  <c r="M228" i="8" s="1"/>
  <c r="AO227" i="8" l="1"/>
  <c r="A228" i="8"/>
  <c r="X228" i="8"/>
  <c r="AI228" i="8"/>
  <c r="AG228" i="8"/>
  <c r="AH228" i="8"/>
  <c r="Q227" i="8"/>
  <c r="P228" i="8" s="1"/>
  <c r="AD228" i="8"/>
  <c r="AC228" i="8"/>
  <c r="C230" i="8"/>
  <c r="Y230" i="8" s="1"/>
  <c r="B229" i="8"/>
  <c r="M229" i="8" s="1"/>
  <c r="AO228" i="8" l="1"/>
  <c r="A229" i="8"/>
  <c r="X229" i="8"/>
  <c r="AG229" i="8"/>
  <c r="AH229" i="8"/>
  <c r="AI229" i="8"/>
  <c r="Q228" i="8"/>
  <c r="P229" i="8" s="1"/>
  <c r="B230" i="8"/>
  <c r="M230" i="8" s="1"/>
  <c r="C231" i="8"/>
  <c r="Y231" i="8" s="1"/>
  <c r="AD229" i="8"/>
  <c r="AC229" i="8"/>
  <c r="AO229" i="8" l="1"/>
  <c r="A230" i="8"/>
  <c r="X230" i="8"/>
  <c r="Q229" i="8"/>
  <c r="P230" i="8" s="1"/>
  <c r="AG230" i="8"/>
  <c r="AI230" i="8"/>
  <c r="AH230" i="8"/>
  <c r="C232" i="8"/>
  <c r="Y232" i="8" s="1"/>
  <c r="B231" i="8"/>
  <c r="M231" i="8" s="1"/>
  <c r="AD230" i="8"/>
  <c r="AC230" i="8"/>
  <c r="AO230" i="8" l="1"/>
  <c r="A231" i="8"/>
  <c r="X231" i="8"/>
  <c r="Q230" i="8"/>
  <c r="P231" i="8" s="1"/>
  <c r="AH231" i="8"/>
  <c r="AG231" i="8"/>
  <c r="AI231" i="8"/>
  <c r="AD231" i="8"/>
  <c r="AC231" i="8"/>
  <c r="B232" i="8"/>
  <c r="M232" i="8" s="1"/>
  <c r="C233" i="8"/>
  <c r="Y233" i="8" s="1"/>
  <c r="AO231" i="8" l="1"/>
  <c r="A232" i="8"/>
  <c r="X232" i="8"/>
  <c r="AI232" i="8"/>
  <c r="AH232" i="8"/>
  <c r="AG232" i="8"/>
  <c r="Q231" i="8"/>
  <c r="P232" i="8" s="1"/>
  <c r="AC232" i="8"/>
  <c r="AD232" i="8"/>
  <c r="C234" i="8"/>
  <c r="Y234" i="8" s="1"/>
  <c r="B233" i="8"/>
  <c r="M233" i="8" s="1"/>
  <c r="AO232" i="8" l="1"/>
  <c r="A233" i="8"/>
  <c r="X233" i="8"/>
  <c r="AG233" i="8"/>
  <c r="AH233" i="8"/>
  <c r="AI233" i="8"/>
  <c r="Q232" i="8"/>
  <c r="P233" i="8" s="1"/>
  <c r="AD233" i="8"/>
  <c r="AC233" i="8"/>
  <c r="B234" i="8"/>
  <c r="M234" i="8" s="1"/>
  <c r="C235" i="8"/>
  <c r="Y235" i="8" s="1"/>
  <c r="AO233" i="8" l="1"/>
  <c r="A234" i="8"/>
  <c r="X234" i="8"/>
  <c r="AG234" i="8"/>
  <c r="AH234" i="8"/>
  <c r="AI234" i="8"/>
  <c r="Q233" i="8"/>
  <c r="P234" i="8" s="1"/>
  <c r="AD234" i="8"/>
  <c r="AC234" i="8"/>
  <c r="B235" i="8"/>
  <c r="M235" i="8" s="1"/>
  <c r="C236" i="8"/>
  <c r="Y236" i="8" s="1"/>
  <c r="AO234" i="8" l="1"/>
  <c r="A235" i="8"/>
  <c r="X235" i="8"/>
  <c r="Q234" i="8"/>
  <c r="P235" i="8" s="1"/>
  <c r="AH235" i="8"/>
  <c r="AI235" i="8"/>
  <c r="AG235" i="8"/>
  <c r="B236" i="8"/>
  <c r="M236" i="8" s="1"/>
  <c r="C237" i="8"/>
  <c r="Y237" i="8" s="1"/>
  <c r="AD235" i="8"/>
  <c r="AC235" i="8"/>
  <c r="AO235" i="8" l="1"/>
  <c r="A236" i="8"/>
  <c r="X236" i="8"/>
  <c r="Q235" i="8"/>
  <c r="P236" i="8" s="1"/>
  <c r="AI236" i="8"/>
  <c r="AG236" i="8"/>
  <c r="AH236" i="8"/>
  <c r="B237" i="8"/>
  <c r="M237" i="8" s="1"/>
  <c r="C238" i="8"/>
  <c r="Y238" i="8" s="1"/>
  <c r="AD236" i="8"/>
  <c r="AC236" i="8"/>
  <c r="AO236" i="8" l="1"/>
  <c r="A237" i="8"/>
  <c r="X237" i="8"/>
  <c r="Q236" i="8"/>
  <c r="P237" i="8" s="1"/>
  <c r="AG237" i="8"/>
  <c r="AH237" i="8"/>
  <c r="AI237" i="8"/>
  <c r="B238" i="8"/>
  <c r="M238" i="8" s="1"/>
  <c r="C239" i="8"/>
  <c r="Y239" i="8" s="1"/>
  <c r="AD237" i="8"/>
  <c r="AC237" i="8"/>
  <c r="AO237" i="8" l="1"/>
  <c r="A238" i="8"/>
  <c r="X238" i="8"/>
  <c r="Q237" i="8"/>
  <c r="P238" i="8" s="1"/>
  <c r="AG238" i="8"/>
  <c r="AH238" i="8"/>
  <c r="AI238" i="8"/>
  <c r="C240" i="8"/>
  <c r="Y240" i="8" s="1"/>
  <c r="B239" i="8"/>
  <c r="M239" i="8" s="1"/>
  <c r="AD238" i="8"/>
  <c r="AC238" i="8"/>
  <c r="AO238" i="8" l="1"/>
  <c r="A239" i="8"/>
  <c r="X239" i="8"/>
  <c r="Q238" i="8"/>
  <c r="P239" i="8" s="1"/>
  <c r="AH239" i="8"/>
  <c r="AI239" i="8"/>
  <c r="AG239" i="8"/>
  <c r="AD239" i="8"/>
  <c r="AC239" i="8"/>
  <c r="B240" i="8"/>
  <c r="M240" i="8" s="1"/>
  <c r="C241" i="8"/>
  <c r="Y241" i="8" s="1"/>
  <c r="AO239" i="8" l="1"/>
  <c r="A240" i="8"/>
  <c r="X240" i="8"/>
  <c r="Q239" i="8"/>
  <c r="P240" i="8" s="1"/>
  <c r="AI240" i="8"/>
  <c r="AG240" i="8"/>
  <c r="AH240" i="8"/>
  <c r="AD240" i="8"/>
  <c r="AC240" i="8"/>
  <c r="C242" i="8"/>
  <c r="Y242" i="8" s="1"/>
  <c r="B241" i="8"/>
  <c r="M241" i="8" s="1"/>
  <c r="AO240" i="8" l="1"/>
  <c r="A241" i="8"/>
  <c r="X241" i="8"/>
  <c r="Q240" i="8"/>
  <c r="P241" i="8" s="1"/>
  <c r="AG241" i="8"/>
  <c r="AH241" i="8"/>
  <c r="AI241" i="8"/>
  <c r="AD241" i="8"/>
  <c r="AC241" i="8"/>
  <c r="B242" i="8"/>
  <c r="M242" i="8" s="1"/>
  <c r="C243" i="8"/>
  <c r="Y243" i="8" s="1"/>
  <c r="AO241" i="8" l="1"/>
  <c r="A242" i="8"/>
  <c r="X242" i="8"/>
  <c r="Q241" i="8"/>
  <c r="P242" i="8" s="1"/>
  <c r="AG242" i="8"/>
  <c r="AH242" i="8"/>
  <c r="AI242" i="8"/>
  <c r="C244" i="8"/>
  <c r="Y244" i="8" s="1"/>
  <c r="B243" i="8"/>
  <c r="M243" i="8" s="1"/>
  <c r="AD242" i="8"/>
  <c r="AC242" i="8"/>
  <c r="AO242" i="8" l="1"/>
  <c r="A243" i="8"/>
  <c r="X243" i="8"/>
  <c r="Q242" i="8"/>
  <c r="P243" i="8" s="1"/>
  <c r="AH243" i="8"/>
  <c r="AI243" i="8"/>
  <c r="AG243" i="8"/>
  <c r="AD243" i="8"/>
  <c r="AC243" i="8"/>
  <c r="B244" i="8"/>
  <c r="M244" i="8" s="1"/>
  <c r="C245" i="8"/>
  <c r="Y245" i="8" s="1"/>
  <c r="AO243" i="8" l="1"/>
  <c r="A244" i="8"/>
  <c r="X244" i="8"/>
  <c r="Q243" i="8"/>
  <c r="P244" i="8" s="1"/>
  <c r="AI244" i="8"/>
  <c r="AG244" i="8"/>
  <c r="AH244" i="8"/>
  <c r="AD244" i="8"/>
  <c r="AC244" i="8"/>
  <c r="C246" i="8"/>
  <c r="Y246" i="8" s="1"/>
  <c r="B245" i="8"/>
  <c r="M245" i="8" s="1"/>
  <c r="AO244" i="8" l="1"/>
  <c r="A245" i="8"/>
  <c r="X245" i="8"/>
  <c r="Q244" i="8"/>
  <c r="P245" i="8" s="1"/>
  <c r="AG245" i="8"/>
  <c r="AH245" i="8"/>
  <c r="AI245" i="8"/>
  <c r="AD245" i="8"/>
  <c r="AC245" i="8"/>
  <c r="B246" i="8"/>
  <c r="M246" i="8" s="1"/>
  <c r="C247" i="8"/>
  <c r="Y247" i="8" s="1"/>
  <c r="AO245" i="8" l="1"/>
  <c r="A246" i="8"/>
  <c r="X246" i="8"/>
  <c r="Q245" i="8"/>
  <c r="P246" i="8" s="1"/>
  <c r="AG246" i="8"/>
  <c r="AH246" i="8"/>
  <c r="AI246" i="8"/>
  <c r="C248" i="8"/>
  <c r="Y248" i="8" s="1"/>
  <c r="B247" i="8"/>
  <c r="M247" i="8" s="1"/>
  <c r="AD246" i="8"/>
  <c r="AC246" i="8"/>
  <c r="AO246" i="8" l="1"/>
  <c r="A247" i="8"/>
  <c r="X247" i="8"/>
  <c r="Q246" i="8"/>
  <c r="P247" i="8" s="1"/>
  <c r="AH247" i="8"/>
  <c r="AI247" i="8"/>
  <c r="AG247" i="8"/>
  <c r="AD247" i="8"/>
  <c r="AC247" i="8"/>
  <c r="B248" i="8"/>
  <c r="M248" i="8" s="1"/>
  <c r="C249" i="8"/>
  <c r="Y249" i="8" s="1"/>
  <c r="AO247" i="8" l="1"/>
  <c r="A248" i="8"/>
  <c r="X248" i="8"/>
  <c r="Q247" i="8"/>
  <c r="P248" i="8" s="1"/>
  <c r="AI248" i="8"/>
  <c r="AG248" i="8"/>
  <c r="AH248" i="8"/>
  <c r="AC248" i="8"/>
  <c r="AD248" i="8"/>
  <c r="C250" i="8"/>
  <c r="Y250" i="8" s="1"/>
  <c r="B249" i="8"/>
  <c r="M249" i="8" s="1"/>
  <c r="AO248" i="8" l="1"/>
  <c r="A249" i="8"/>
  <c r="X249" i="8"/>
  <c r="Q248" i="8"/>
  <c r="P249" i="8" s="1"/>
  <c r="AG249" i="8"/>
  <c r="AH249" i="8"/>
  <c r="AI249" i="8"/>
  <c r="AD249" i="8"/>
  <c r="AC249" i="8"/>
  <c r="B250" i="8"/>
  <c r="M250" i="8" s="1"/>
  <c r="C251" i="8"/>
  <c r="Y251" i="8" s="1"/>
  <c r="AO249" i="8" l="1"/>
  <c r="A250" i="8"/>
  <c r="X250" i="8"/>
  <c r="AG250" i="8"/>
  <c r="AH250" i="8"/>
  <c r="AI250" i="8"/>
  <c r="Q249" i="8"/>
  <c r="P250" i="8" s="1"/>
  <c r="C252" i="8"/>
  <c r="Y252" i="8" s="1"/>
  <c r="B251" i="8"/>
  <c r="M251" i="8" s="1"/>
  <c r="AD250" i="8"/>
  <c r="AC250" i="8"/>
  <c r="AO250" i="8" l="1"/>
  <c r="A251" i="8"/>
  <c r="X251" i="8"/>
  <c r="Q250" i="8"/>
  <c r="P251" i="8" s="1"/>
  <c r="AH251" i="8"/>
  <c r="AI251" i="8"/>
  <c r="AG251" i="8"/>
  <c r="AD251" i="8"/>
  <c r="AC251" i="8"/>
  <c r="C253" i="8"/>
  <c r="Y253" i="8" s="1"/>
  <c r="B252" i="8"/>
  <c r="M252" i="8" s="1"/>
  <c r="AO251" i="8" l="1"/>
  <c r="A252" i="8"/>
  <c r="X252" i="8"/>
  <c r="Q251" i="8"/>
  <c r="P252" i="8" s="1"/>
  <c r="AI252" i="8"/>
  <c r="AG252" i="8"/>
  <c r="AH252" i="8"/>
  <c r="C254" i="8"/>
  <c r="Y254" i="8" s="1"/>
  <c r="B253" i="8"/>
  <c r="M253" i="8" s="1"/>
  <c r="AD252" i="8"/>
  <c r="AC252" i="8"/>
  <c r="AO252" i="8" l="1"/>
  <c r="A253" i="8"/>
  <c r="X253" i="8"/>
  <c r="Q252" i="8"/>
  <c r="P253" i="8" s="1"/>
  <c r="AG253" i="8"/>
  <c r="AH253" i="8"/>
  <c r="AI253" i="8"/>
  <c r="AD253" i="8"/>
  <c r="AC253" i="8"/>
  <c r="B254" i="8"/>
  <c r="M254" i="8" s="1"/>
  <c r="C255" i="8"/>
  <c r="Y255" i="8" s="1"/>
  <c r="AO253" i="8" l="1"/>
  <c r="A254" i="8"/>
  <c r="X254" i="8"/>
  <c r="Q253" i="8"/>
  <c r="P254" i="8" s="1"/>
  <c r="AG254" i="8"/>
  <c r="AH254" i="8"/>
  <c r="AI254" i="8"/>
  <c r="C256" i="8"/>
  <c r="Y256" i="8" s="1"/>
  <c r="B255" i="8"/>
  <c r="M255" i="8" s="1"/>
  <c r="AD254" i="8"/>
  <c r="AC254" i="8"/>
  <c r="AO254" i="8" l="1"/>
  <c r="A255" i="8"/>
  <c r="X255" i="8"/>
  <c r="Q254" i="8"/>
  <c r="P255" i="8" s="1"/>
  <c r="AH255" i="8"/>
  <c r="AI255" i="8"/>
  <c r="AG255" i="8"/>
  <c r="AD255" i="8"/>
  <c r="AC255" i="8"/>
  <c r="C257" i="8"/>
  <c r="Y257" i="8" s="1"/>
  <c r="B256" i="8"/>
  <c r="M256" i="8" s="1"/>
  <c r="AO255" i="8" l="1"/>
  <c r="A256" i="8"/>
  <c r="X256" i="8"/>
  <c r="Q255" i="8"/>
  <c r="P256" i="8" s="1"/>
  <c r="AI256" i="8"/>
  <c r="AG256" i="8"/>
  <c r="AH256" i="8"/>
  <c r="AD256" i="8"/>
  <c r="AC256" i="8"/>
  <c r="C258" i="8"/>
  <c r="Y258" i="8" s="1"/>
  <c r="B257" i="8"/>
  <c r="M257" i="8" s="1"/>
  <c r="AO256" i="8" l="1"/>
  <c r="A257" i="8"/>
  <c r="X257" i="8"/>
  <c r="Q256" i="8"/>
  <c r="P257" i="8" s="1"/>
  <c r="AG257" i="8"/>
  <c r="AH257" i="8"/>
  <c r="AI257" i="8"/>
  <c r="B258" i="8"/>
  <c r="M258" i="8" s="1"/>
  <c r="C259" i="8"/>
  <c r="Y259" i="8" s="1"/>
  <c r="AD257" i="8"/>
  <c r="AC257" i="8"/>
  <c r="AO257" i="8" l="1"/>
  <c r="A258" i="8"/>
  <c r="X258" i="8"/>
  <c r="Q257" i="8"/>
  <c r="P258" i="8" s="1"/>
  <c r="AG258" i="8"/>
  <c r="AH258" i="8"/>
  <c r="AI258" i="8"/>
  <c r="C260" i="8"/>
  <c r="Y260" i="8" s="1"/>
  <c r="B259" i="8"/>
  <c r="M259" i="8" s="1"/>
  <c r="AD258" i="8"/>
  <c r="AC258" i="8"/>
  <c r="AO258" i="8" l="1"/>
  <c r="A259" i="8"/>
  <c r="X259" i="8"/>
  <c r="Q258" i="8"/>
  <c r="P259" i="8" s="1"/>
  <c r="AH259" i="8"/>
  <c r="AI259" i="8"/>
  <c r="AG259" i="8"/>
  <c r="AD259" i="8"/>
  <c r="AC259" i="8"/>
  <c r="B260" i="8"/>
  <c r="M260" i="8" s="1"/>
  <c r="C261" i="8"/>
  <c r="Y261" i="8" s="1"/>
  <c r="AO259" i="8" l="1"/>
  <c r="A260" i="8"/>
  <c r="X260" i="8"/>
  <c r="Q259" i="8"/>
  <c r="P260" i="8" s="1"/>
  <c r="AI260" i="8"/>
  <c r="AG260" i="8"/>
  <c r="AH260" i="8"/>
  <c r="C262" i="8"/>
  <c r="Y262" i="8" s="1"/>
  <c r="B261" i="8"/>
  <c r="M261" i="8" s="1"/>
  <c r="AD260" i="8"/>
  <c r="AC260" i="8"/>
  <c r="AO260" i="8" l="1"/>
  <c r="A261" i="8"/>
  <c r="X261" i="8"/>
  <c r="Q260" i="8"/>
  <c r="P261" i="8" s="1"/>
  <c r="AG261" i="8"/>
  <c r="AH261" i="8"/>
  <c r="AI261" i="8"/>
  <c r="AD261" i="8"/>
  <c r="AC261" i="8"/>
  <c r="B262" i="8"/>
  <c r="M262" i="8" s="1"/>
  <c r="C263" i="8"/>
  <c r="Y263" i="8" s="1"/>
  <c r="AO261" i="8" l="1"/>
  <c r="A262" i="8"/>
  <c r="X262" i="8"/>
  <c r="Q261" i="8"/>
  <c r="P262" i="8" s="1"/>
  <c r="AG262" i="8"/>
  <c r="AH262" i="8"/>
  <c r="AI262" i="8"/>
  <c r="B263" i="8"/>
  <c r="M263" i="8" s="1"/>
  <c r="C264" i="8"/>
  <c r="Y264" i="8" s="1"/>
  <c r="AD262" i="8"/>
  <c r="AC262" i="8"/>
  <c r="AO262" i="8" l="1"/>
  <c r="A263" i="8"/>
  <c r="X263" i="8"/>
  <c r="Q262" i="8"/>
  <c r="P263" i="8" s="1"/>
  <c r="AH263" i="8"/>
  <c r="AI263" i="8"/>
  <c r="AG263" i="8"/>
  <c r="C265" i="8"/>
  <c r="Y265" i="8" s="1"/>
  <c r="B264" i="8"/>
  <c r="M264" i="8" s="1"/>
  <c r="AD263" i="8"/>
  <c r="AC263" i="8"/>
  <c r="AO263" i="8" l="1"/>
  <c r="A264" i="8"/>
  <c r="X264" i="8"/>
  <c r="Q263" i="8"/>
  <c r="P264" i="8" s="1"/>
  <c r="AI264" i="8"/>
  <c r="AG264" i="8"/>
  <c r="AH264" i="8"/>
  <c r="AC264" i="8"/>
  <c r="AD264" i="8"/>
  <c r="C266" i="8"/>
  <c r="Y266" i="8" s="1"/>
  <c r="B265" i="8"/>
  <c r="M265" i="8" s="1"/>
  <c r="AO264" i="8" l="1"/>
  <c r="A265" i="8"/>
  <c r="X265" i="8"/>
  <c r="Q264" i="8"/>
  <c r="P265" i="8" s="1"/>
  <c r="AG265" i="8"/>
  <c r="AH265" i="8"/>
  <c r="AI265" i="8"/>
  <c r="AD265" i="8"/>
  <c r="AC265" i="8"/>
  <c r="C267" i="8"/>
  <c r="Y267" i="8" s="1"/>
  <c r="B266" i="8"/>
  <c r="M266" i="8" s="1"/>
  <c r="AO265" i="8" l="1"/>
  <c r="A266" i="8"/>
  <c r="X266" i="8"/>
  <c r="Q265" i="8"/>
  <c r="P266" i="8" s="1"/>
  <c r="AG266" i="8"/>
  <c r="AH266" i="8"/>
  <c r="AI266" i="8"/>
  <c r="AD266" i="8"/>
  <c r="AC266" i="8"/>
  <c r="B267" i="8"/>
  <c r="M267" i="8" s="1"/>
  <c r="C268" i="8"/>
  <c r="Y268" i="8" s="1"/>
  <c r="AO266" i="8" l="1"/>
  <c r="A267" i="8"/>
  <c r="X267" i="8"/>
  <c r="Q266" i="8"/>
  <c r="P267" i="8" s="1"/>
  <c r="AH267" i="8"/>
  <c r="AI267" i="8"/>
  <c r="AG267" i="8"/>
  <c r="C269" i="8"/>
  <c r="Y269" i="8" s="1"/>
  <c r="B268" i="8"/>
  <c r="M268" i="8" s="1"/>
  <c r="AD267" i="8"/>
  <c r="AC267" i="8"/>
  <c r="AO267" i="8" l="1"/>
  <c r="A268" i="8"/>
  <c r="X268" i="8"/>
  <c r="Q267" i="8"/>
  <c r="P268" i="8" s="1"/>
  <c r="AI268" i="8"/>
  <c r="AG268" i="8"/>
  <c r="AH268" i="8"/>
  <c r="AD268" i="8"/>
  <c r="AC268" i="8"/>
  <c r="C270" i="8"/>
  <c r="Y270" i="8" s="1"/>
  <c r="B269" i="8"/>
  <c r="M269" i="8" s="1"/>
  <c r="AO268" i="8" l="1"/>
  <c r="A269" i="8"/>
  <c r="X269" i="8"/>
  <c r="Q268" i="8"/>
  <c r="P269" i="8" s="1"/>
  <c r="AG269" i="8"/>
  <c r="AH269" i="8"/>
  <c r="AI269" i="8"/>
  <c r="AD269" i="8"/>
  <c r="AC269" i="8"/>
  <c r="B270" i="8"/>
  <c r="M270" i="8" s="1"/>
  <c r="C271" i="8"/>
  <c r="Y271" i="8" s="1"/>
  <c r="AO269" i="8" l="1"/>
  <c r="A270" i="8"/>
  <c r="X270" i="8"/>
  <c r="Q269" i="8"/>
  <c r="P270" i="8" s="1"/>
  <c r="AG270" i="8"/>
  <c r="AH270" i="8"/>
  <c r="AI270" i="8"/>
  <c r="AD270" i="8"/>
  <c r="AC270" i="8"/>
  <c r="B271" i="8"/>
  <c r="M271" i="8" s="1"/>
  <c r="C272" i="8"/>
  <c r="Y272" i="8" s="1"/>
  <c r="AO270" i="8" l="1"/>
  <c r="A271" i="8"/>
  <c r="X271" i="8"/>
  <c r="Q270" i="8"/>
  <c r="P271" i="8" s="1"/>
  <c r="AH271" i="8"/>
  <c r="AI271" i="8"/>
  <c r="AG271" i="8"/>
  <c r="C273" i="8"/>
  <c r="Y273" i="8" s="1"/>
  <c r="B272" i="8"/>
  <c r="M272" i="8" s="1"/>
  <c r="AD271" i="8"/>
  <c r="AC271" i="8"/>
  <c r="AO271" i="8" l="1"/>
  <c r="A272" i="8"/>
  <c r="X272" i="8"/>
  <c r="Q271" i="8"/>
  <c r="P272" i="8" s="1"/>
  <c r="AI272" i="8"/>
  <c r="AG272" i="8"/>
  <c r="AH272" i="8"/>
  <c r="AD272" i="8"/>
  <c r="AC272" i="8"/>
  <c r="B273" i="8"/>
  <c r="M273" i="8" s="1"/>
  <c r="C274" i="8"/>
  <c r="Y274" i="8" s="1"/>
  <c r="AO272" i="8" l="1"/>
  <c r="A273" i="8"/>
  <c r="X273" i="8"/>
  <c r="Q272" i="8"/>
  <c r="P273" i="8" s="1"/>
  <c r="AG273" i="8"/>
  <c r="AH273" i="8"/>
  <c r="AI273" i="8"/>
  <c r="C275" i="8"/>
  <c r="Y275" i="8" s="1"/>
  <c r="B274" i="8"/>
  <c r="M274" i="8" s="1"/>
  <c r="AD273" i="8"/>
  <c r="AC273" i="8"/>
  <c r="AO273" i="8" l="1"/>
  <c r="A274" i="8"/>
  <c r="X274" i="8"/>
  <c r="Q273" i="8"/>
  <c r="P274" i="8" s="1"/>
  <c r="AG274" i="8"/>
  <c r="AH274" i="8"/>
  <c r="AI274" i="8"/>
  <c r="AD274" i="8"/>
  <c r="AC274" i="8"/>
  <c r="B275" i="8"/>
  <c r="M275" i="8" s="1"/>
  <c r="C276" i="8"/>
  <c r="Y276" i="8" s="1"/>
  <c r="AO274" i="8" l="1"/>
  <c r="A275" i="8"/>
  <c r="X275" i="8"/>
  <c r="Q274" i="8"/>
  <c r="P275" i="8" s="1"/>
  <c r="AH275" i="8"/>
  <c r="AI275" i="8"/>
  <c r="AG275" i="8"/>
  <c r="C277" i="8"/>
  <c r="Y277" i="8" s="1"/>
  <c r="B276" i="8"/>
  <c r="M276" i="8" s="1"/>
  <c r="AD275" i="8"/>
  <c r="AC275" i="8"/>
  <c r="AO275" i="8" l="1"/>
  <c r="A276" i="8"/>
  <c r="X276" i="8"/>
  <c r="Q275" i="8"/>
  <c r="P276" i="8" s="1"/>
  <c r="AI276" i="8"/>
  <c r="AG276" i="8"/>
  <c r="AH276" i="8"/>
  <c r="AD276" i="8"/>
  <c r="AC276" i="8"/>
  <c r="B277" i="8"/>
  <c r="M277" i="8" s="1"/>
  <c r="C278" i="8"/>
  <c r="Y278" i="8" s="1"/>
  <c r="AO276" i="8" l="1"/>
  <c r="A277" i="8"/>
  <c r="X277" i="8"/>
  <c r="AG277" i="8"/>
  <c r="AH277" i="8"/>
  <c r="AI277" i="8"/>
  <c r="Q276" i="8"/>
  <c r="P277" i="8" s="1"/>
  <c r="C279" i="8"/>
  <c r="Y279" i="8" s="1"/>
  <c r="B278" i="8"/>
  <c r="M278" i="8" s="1"/>
  <c r="AD277" i="8"/>
  <c r="AC277" i="8"/>
  <c r="AO277" i="8" l="1"/>
  <c r="A278" i="8"/>
  <c r="X278" i="8"/>
  <c r="Q277" i="8"/>
  <c r="P278" i="8" s="1"/>
  <c r="AG278" i="8"/>
  <c r="AH278" i="8"/>
  <c r="AI278" i="8"/>
  <c r="AD278" i="8"/>
  <c r="AC278" i="8"/>
  <c r="C280" i="8"/>
  <c r="Y280" i="8" s="1"/>
  <c r="B279" i="8"/>
  <c r="M279" i="8" s="1"/>
  <c r="AO278" i="8" l="1"/>
  <c r="A279" i="8"/>
  <c r="X279" i="8"/>
  <c r="Q278" i="8"/>
  <c r="P279" i="8" s="1"/>
  <c r="AH279" i="8"/>
  <c r="AI279" i="8"/>
  <c r="AG279" i="8"/>
  <c r="C281" i="8"/>
  <c r="Y281" i="8" s="1"/>
  <c r="B280" i="8"/>
  <c r="M280" i="8" s="1"/>
  <c r="AD279" i="8"/>
  <c r="AC279" i="8"/>
  <c r="AO279" i="8" l="1"/>
  <c r="A280" i="8"/>
  <c r="X280" i="8"/>
  <c r="Q279" i="8"/>
  <c r="P280" i="8" s="1"/>
  <c r="AI280" i="8"/>
  <c r="AG280" i="8"/>
  <c r="AH280" i="8"/>
  <c r="AC280" i="8"/>
  <c r="AD280" i="8"/>
  <c r="B281" i="8"/>
  <c r="M281" i="8" s="1"/>
  <c r="C282" i="8"/>
  <c r="Y282" i="8" s="1"/>
  <c r="AO280" i="8" l="1"/>
  <c r="A281" i="8"/>
  <c r="X281" i="8"/>
  <c r="Q280" i="8"/>
  <c r="P281" i="8" s="1"/>
  <c r="AG281" i="8"/>
  <c r="AH281" i="8"/>
  <c r="AI281" i="8"/>
  <c r="B282" i="8"/>
  <c r="M282" i="8" s="1"/>
  <c r="C283" i="8"/>
  <c r="Y283" i="8" s="1"/>
  <c r="AD281" i="8"/>
  <c r="AC281" i="8"/>
  <c r="AO281" i="8" l="1"/>
  <c r="A282" i="8"/>
  <c r="X282" i="8"/>
  <c r="Q281" i="8"/>
  <c r="P282" i="8" s="1"/>
  <c r="AG282" i="8"/>
  <c r="AH282" i="8"/>
  <c r="AI282" i="8"/>
  <c r="C284" i="8"/>
  <c r="Y284" i="8" s="1"/>
  <c r="B283" i="8"/>
  <c r="M283" i="8" s="1"/>
  <c r="AD282" i="8"/>
  <c r="AC282" i="8"/>
  <c r="AO282" i="8" l="1"/>
  <c r="A283" i="8"/>
  <c r="X283" i="8"/>
  <c r="Q282" i="8"/>
  <c r="P283" i="8" s="1"/>
  <c r="AH283" i="8"/>
  <c r="AI283" i="8"/>
  <c r="AG283" i="8"/>
  <c r="AD283" i="8"/>
  <c r="AC283" i="8"/>
  <c r="B284" i="8"/>
  <c r="M284" i="8" s="1"/>
  <c r="C285" i="8"/>
  <c r="Y285" i="8" s="1"/>
  <c r="AO283" i="8" l="1"/>
  <c r="A284" i="8"/>
  <c r="X284" i="8"/>
  <c r="Q283" i="8"/>
  <c r="P284" i="8" s="1"/>
  <c r="AI284" i="8"/>
  <c r="AG284" i="8"/>
  <c r="AH284" i="8"/>
  <c r="B285" i="8"/>
  <c r="M285" i="8" s="1"/>
  <c r="C286" i="8"/>
  <c r="Y286" i="8" s="1"/>
  <c r="AD284" i="8"/>
  <c r="AC284" i="8"/>
  <c r="AO284" i="8" l="1"/>
  <c r="A285" i="8"/>
  <c r="X285" i="8"/>
  <c r="Q284" i="8"/>
  <c r="P285" i="8" s="1"/>
  <c r="AG285" i="8"/>
  <c r="AH285" i="8"/>
  <c r="AI285" i="8"/>
  <c r="C287" i="8"/>
  <c r="Y287" i="8" s="1"/>
  <c r="B286" i="8"/>
  <c r="M286" i="8" s="1"/>
  <c r="AD285" i="8"/>
  <c r="AC285" i="8"/>
  <c r="AO285" i="8" l="1"/>
  <c r="A286" i="8"/>
  <c r="X286" i="8"/>
  <c r="Q285" i="8"/>
  <c r="P286" i="8" s="1"/>
  <c r="AG286" i="8"/>
  <c r="AH286" i="8"/>
  <c r="AI286" i="8"/>
  <c r="AD286" i="8"/>
  <c r="AC286" i="8"/>
  <c r="B287" i="8"/>
  <c r="M287" i="8" s="1"/>
  <c r="C288" i="8"/>
  <c r="Y288" i="8" s="1"/>
  <c r="AO286" i="8" l="1"/>
  <c r="A287" i="8"/>
  <c r="X287" i="8"/>
  <c r="Q286" i="8"/>
  <c r="P287" i="8" s="1"/>
  <c r="AH287" i="8"/>
  <c r="AI287" i="8"/>
  <c r="AG287" i="8"/>
  <c r="AD287" i="8"/>
  <c r="AC287" i="8"/>
  <c r="C289" i="8"/>
  <c r="Y289" i="8" s="1"/>
  <c r="B288" i="8"/>
  <c r="M288" i="8" s="1"/>
  <c r="AO287" i="8" l="1"/>
  <c r="A288" i="8"/>
  <c r="X288" i="8"/>
  <c r="Q287" i="8"/>
  <c r="P288" i="8" s="1"/>
  <c r="AI288" i="8"/>
  <c r="AG288" i="8"/>
  <c r="AH288" i="8"/>
  <c r="AD288" i="8"/>
  <c r="AC288" i="8"/>
  <c r="B289" i="8"/>
  <c r="M289" i="8" s="1"/>
  <c r="C290" i="8"/>
  <c r="Y290" i="8" s="1"/>
  <c r="AO288" i="8" l="1"/>
  <c r="A289" i="8"/>
  <c r="X289" i="8"/>
  <c r="Q288" i="8"/>
  <c r="P289" i="8" s="1"/>
  <c r="AG289" i="8"/>
  <c r="AH289" i="8"/>
  <c r="AI289" i="8"/>
  <c r="C291" i="8"/>
  <c r="Y291" i="8" s="1"/>
  <c r="B290" i="8"/>
  <c r="M290" i="8" s="1"/>
  <c r="AD289" i="8"/>
  <c r="AC289" i="8"/>
  <c r="AO289" i="8" l="1"/>
  <c r="A290" i="8"/>
  <c r="X290" i="8"/>
  <c r="Q289" i="8"/>
  <c r="P290" i="8" s="1"/>
  <c r="AG290" i="8"/>
  <c r="AH290" i="8"/>
  <c r="AI290" i="8"/>
  <c r="AD290" i="8"/>
  <c r="AC290" i="8"/>
  <c r="B291" i="8"/>
  <c r="M291" i="8" s="1"/>
  <c r="C292" i="8"/>
  <c r="Y292" i="8" s="1"/>
  <c r="AO290" i="8" l="1"/>
  <c r="A291" i="8"/>
  <c r="X291" i="8"/>
  <c r="Q290" i="8"/>
  <c r="P291" i="8" s="1"/>
  <c r="AH291" i="8"/>
  <c r="AI291" i="8"/>
  <c r="AG291" i="8"/>
  <c r="C293" i="8"/>
  <c r="Y293" i="8" s="1"/>
  <c r="B292" i="8"/>
  <c r="M292" i="8" s="1"/>
  <c r="AD291" i="8"/>
  <c r="AC291" i="8"/>
  <c r="AO291" i="8" l="1"/>
  <c r="A292" i="8"/>
  <c r="X292" i="8"/>
  <c r="Q291" i="8"/>
  <c r="P292" i="8" s="1"/>
  <c r="AI292" i="8"/>
  <c r="AH292" i="8"/>
  <c r="AG292" i="8"/>
  <c r="AD292" i="8"/>
  <c r="AC292" i="8"/>
  <c r="B293" i="8"/>
  <c r="M293" i="8" s="1"/>
  <c r="C294" i="8"/>
  <c r="Y294" i="8" s="1"/>
  <c r="AO292" i="8" l="1"/>
  <c r="A293" i="8"/>
  <c r="X293" i="8"/>
  <c r="Q292" i="8"/>
  <c r="P293" i="8" s="1"/>
  <c r="AG293" i="8"/>
  <c r="AI293" i="8"/>
  <c r="AH293" i="8"/>
  <c r="AD293" i="8"/>
  <c r="AC293" i="8"/>
  <c r="C295" i="8"/>
  <c r="Y295" i="8" s="1"/>
  <c r="B294" i="8"/>
  <c r="M294" i="8" s="1"/>
  <c r="AO293" i="8" l="1"/>
  <c r="A294" i="8"/>
  <c r="X294" i="8"/>
  <c r="Q293" i="8"/>
  <c r="P294" i="8" s="1"/>
  <c r="AG294" i="8"/>
  <c r="AH294" i="8"/>
  <c r="AI294" i="8"/>
  <c r="AD294" i="8"/>
  <c r="AC294" i="8"/>
  <c r="C296" i="8"/>
  <c r="Y296" i="8" s="1"/>
  <c r="B295" i="8"/>
  <c r="M295" i="8" s="1"/>
  <c r="AO294" i="8" l="1"/>
  <c r="A295" i="8"/>
  <c r="X295" i="8"/>
  <c r="Q294" i="8"/>
  <c r="P295" i="8" s="1"/>
  <c r="AH295" i="8"/>
  <c r="AI295" i="8"/>
  <c r="AG295" i="8"/>
  <c r="AD295" i="8"/>
  <c r="AC295" i="8"/>
  <c r="C297" i="8"/>
  <c r="Y297" i="8" s="1"/>
  <c r="B296" i="8"/>
  <c r="M296" i="8" s="1"/>
  <c r="AO295" i="8" l="1"/>
  <c r="A296" i="8"/>
  <c r="X296" i="8"/>
  <c r="Q295" i="8"/>
  <c r="P296" i="8" s="1"/>
  <c r="AI296" i="8"/>
  <c r="AH296" i="8"/>
  <c r="AG296" i="8"/>
  <c r="B297" i="8"/>
  <c r="M297" i="8" s="1"/>
  <c r="C298" i="8"/>
  <c r="Y298" i="8" s="1"/>
  <c r="AC296" i="8"/>
  <c r="AD296" i="8"/>
  <c r="AO296" i="8" l="1"/>
  <c r="A297" i="8"/>
  <c r="X297" i="8"/>
  <c r="Q296" i="8"/>
  <c r="P297" i="8" s="1"/>
  <c r="AG297" i="8"/>
  <c r="AI297" i="8"/>
  <c r="AH297" i="8"/>
  <c r="B298" i="8"/>
  <c r="M298" i="8" s="1"/>
  <c r="C299" i="8"/>
  <c r="Y299" i="8" s="1"/>
  <c r="AD297" i="8"/>
  <c r="AC297" i="8"/>
  <c r="AO297" i="8" l="1"/>
  <c r="A298" i="8"/>
  <c r="X298" i="8"/>
  <c r="Q297" i="8"/>
  <c r="P298" i="8" s="1"/>
  <c r="AG298" i="8"/>
  <c r="AH298" i="8"/>
  <c r="AI298" i="8"/>
  <c r="B299" i="8"/>
  <c r="M299" i="8" s="1"/>
  <c r="C300" i="8"/>
  <c r="Y300" i="8" s="1"/>
  <c r="AD298" i="8"/>
  <c r="AC298" i="8"/>
  <c r="AO298" i="8" l="1"/>
  <c r="A299" i="8"/>
  <c r="X299" i="8"/>
  <c r="Q298" i="8"/>
  <c r="P299" i="8" s="1"/>
  <c r="AH299" i="8"/>
  <c r="AI299" i="8"/>
  <c r="AG299" i="8"/>
  <c r="C301" i="8"/>
  <c r="Y301" i="8" s="1"/>
  <c r="B300" i="8"/>
  <c r="M300" i="8" s="1"/>
  <c r="AD299" i="8"/>
  <c r="AC299" i="8"/>
  <c r="AO299" i="8" l="1"/>
  <c r="A300" i="8"/>
  <c r="X300" i="8"/>
  <c r="Q299" i="8"/>
  <c r="P300" i="8" s="1"/>
  <c r="AI300" i="8"/>
  <c r="AH300" i="8"/>
  <c r="AG300" i="8"/>
  <c r="AD300" i="8"/>
  <c r="AC300" i="8"/>
  <c r="B301" i="8"/>
  <c r="M301" i="8" s="1"/>
  <c r="C302" i="8"/>
  <c r="Y302" i="8" s="1"/>
  <c r="AO300" i="8" l="1"/>
  <c r="A301" i="8"/>
  <c r="X301" i="8"/>
  <c r="Q300" i="8"/>
  <c r="P301" i="8" s="1"/>
  <c r="AG301" i="8"/>
  <c r="AI301" i="8"/>
  <c r="AH301" i="8"/>
  <c r="C303" i="8"/>
  <c r="Y303" i="8" s="1"/>
  <c r="B302" i="8"/>
  <c r="M302" i="8" s="1"/>
  <c r="AD301" i="8"/>
  <c r="AC301" i="8"/>
  <c r="AO301" i="8" l="1"/>
  <c r="A302" i="8"/>
  <c r="X302" i="8"/>
  <c r="Q301" i="8"/>
  <c r="P302" i="8" s="1"/>
  <c r="AG302" i="8"/>
  <c r="AH302" i="8"/>
  <c r="AI302" i="8"/>
  <c r="AD302" i="8"/>
  <c r="AC302" i="8"/>
  <c r="B303" i="8"/>
  <c r="M303" i="8" s="1"/>
  <c r="C304" i="8"/>
  <c r="Y304" i="8" s="1"/>
  <c r="AO302" i="8" l="1"/>
  <c r="A303" i="8"/>
  <c r="X303" i="8"/>
  <c r="Q302" i="8"/>
  <c r="P303" i="8" s="1"/>
  <c r="AH303" i="8"/>
  <c r="AI303" i="8"/>
  <c r="AG303" i="8"/>
  <c r="AD303" i="8"/>
  <c r="AC303" i="8"/>
  <c r="C305" i="8"/>
  <c r="Y305" i="8" s="1"/>
  <c r="B304" i="8"/>
  <c r="M304" i="8" s="1"/>
  <c r="AO303" i="8" l="1"/>
  <c r="A304" i="8"/>
  <c r="X304" i="8"/>
  <c r="Q303" i="8"/>
  <c r="P304" i="8" s="1"/>
  <c r="AI304" i="8"/>
  <c r="AH304" i="8"/>
  <c r="AG304" i="8"/>
  <c r="AD304" i="8"/>
  <c r="AC304" i="8"/>
  <c r="B305" i="8"/>
  <c r="M305" i="8" s="1"/>
  <c r="C306" i="8"/>
  <c r="Y306" i="8" s="1"/>
  <c r="AO304" i="8" l="1"/>
  <c r="A305" i="8"/>
  <c r="X305" i="8"/>
  <c r="Q304" i="8"/>
  <c r="P305" i="8" s="1"/>
  <c r="AG305" i="8"/>
  <c r="AI305" i="8"/>
  <c r="AH305" i="8"/>
  <c r="C307" i="8"/>
  <c r="Y307" i="8" s="1"/>
  <c r="B306" i="8"/>
  <c r="M306" i="8" s="1"/>
  <c r="AD305" i="8"/>
  <c r="AC305" i="8"/>
  <c r="AO305" i="8" l="1"/>
  <c r="A306" i="8"/>
  <c r="X306" i="8"/>
  <c r="Q305" i="8"/>
  <c r="P306" i="8" s="1"/>
  <c r="AG306" i="8"/>
  <c r="AH306" i="8"/>
  <c r="AI306" i="8"/>
  <c r="AD306" i="8"/>
  <c r="AC306" i="8"/>
  <c r="B307" i="8"/>
  <c r="M307" i="8" s="1"/>
  <c r="C308" i="8"/>
  <c r="Y308" i="8" s="1"/>
  <c r="AO306" i="8" l="1"/>
  <c r="A307" i="8"/>
  <c r="X307" i="8"/>
  <c r="Q306" i="8"/>
  <c r="P307" i="8" s="1"/>
  <c r="AH307" i="8"/>
  <c r="AI307" i="8"/>
  <c r="AG307" i="8"/>
  <c r="AD307" i="8"/>
  <c r="AC307" i="8"/>
  <c r="C309" i="8"/>
  <c r="Y309" i="8" s="1"/>
  <c r="B308" i="8"/>
  <c r="M308" i="8" s="1"/>
  <c r="AO307" i="8" l="1"/>
  <c r="A308" i="8"/>
  <c r="X308" i="8"/>
  <c r="Q307" i="8"/>
  <c r="P308" i="8" s="1"/>
  <c r="AI308" i="8"/>
  <c r="AH308" i="8"/>
  <c r="AG308" i="8"/>
  <c r="AD308" i="8"/>
  <c r="AC308" i="8"/>
  <c r="B309" i="8"/>
  <c r="M309" i="8" s="1"/>
  <c r="C310" i="8"/>
  <c r="Y310" i="8" s="1"/>
  <c r="AO308" i="8" l="1"/>
  <c r="A309" i="8"/>
  <c r="X309" i="8"/>
  <c r="Q308" i="8"/>
  <c r="P309" i="8" s="1"/>
  <c r="AG309" i="8"/>
  <c r="AI309" i="8"/>
  <c r="AH309" i="8"/>
  <c r="C311" i="8"/>
  <c r="Y311" i="8" s="1"/>
  <c r="B310" i="8"/>
  <c r="M310" i="8" s="1"/>
  <c r="AD309" i="8"/>
  <c r="AC309" i="8"/>
  <c r="AO309" i="8" l="1"/>
  <c r="A310" i="8"/>
  <c r="X310" i="8"/>
  <c r="Q309" i="8"/>
  <c r="P310" i="8" s="1"/>
  <c r="AG310" i="8"/>
  <c r="AH310" i="8"/>
  <c r="AI310" i="8"/>
  <c r="AD310" i="8"/>
  <c r="AC310" i="8"/>
  <c r="B311" i="8"/>
  <c r="M311" i="8" s="1"/>
  <c r="C312" i="8"/>
  <c r="Y312" i="8" s="1"/>
  <c r="AO310" i="8" l="1"/>
  <c r="A311" i="8"/>
  <c r="X311" i="8"/>
  <c r="Q310" i="8"/>
  <c r="P311" i="8" s="1"/>
  <c r="AH311" i="8"/>
  <c r="AI311" i="8"/>
  <c r="AG311" i="8"/>
  <c r="C313" i="8"/>
  <c r="Y313" i="8" s="1"/>
  <c r="B312" i="8"/>
  <c r="M312" i="8" s="1"/>
  <c r="AD311" i="8"/>
  <c r="AC311" i="8"/>
  <c r="AO311" i="8" l="1"/>
  <c r="A312" i="8"/>
  <c r="X312" i="8"/>
  <c r="Q311" i="8"/>
  <c r="P312" i="8" s="1"/>
  <c r="AI312" i="8"/>
  <c r="AH312" i="8"/>
  <c r="AG312" i="8"/>
  <c r="AC312" i="8"/>
  <c r="AD312" i="8"/>
  <c r="C314" i="8"/>
  <c r="Y314" i="8" s="1"/>
  <c r="B313" i="8"/>
  <c r="M313" i="8" s="1"/>
  <c r="AO312" i="8" l="1"/>
  <c r="A313" i="8"/>
  <c r="X313" i="8"/>
  <c r="Q312" i="8"/>
  <c r="P313" i="8" s="1"/>
  <c r="AG313" i="8"/>
  <c r="AI313" i="8"/>
  <c r="AH313" i="8"/>
  <c r="AD313" i="8"/>
  <c r="AC313" i="8"/>
  <c r="C315" i="8"/>
  <c r="Y315" i="8" s="1"/>
  <c r="B314" i="8"/>
  <c r="M314" i="8" s="1"/>
  <c r="AO313" i="8" l="1"/>
  <c r="A314" i="8"/>
  <c r="X314" i="8"/>
  <c r="Q313" i="8"/>
  <c r="P314" i="8" s="1"/>
  <c r="AG314" i="8"/>
  <c r="AH314" i="8"/>
  <c r="AI314" i="8"/>
  <c r="B315" i="8"/>
  <c r="M315" i="8" s="1"/>
  <c r="C316" i="8"/>
  <c r="Y316" i="8" s="1"/>
  <c r="AD314" i="8"/>
  <c r="AC314" i="8"/>
  <c r="AO314" i="8" l="1"/>
  <c r="A315" i="8"/>
  <c r="X315" i="8"/>
  <c r="Q314" i="8"/>
  <c r="P315" i="8" s="1"/>
  <c r="AH315" i="8"/>
  <c r="AI315" i="8"/>
  <c r="AG315" i="8"/>
  <c r="C317" i="8"/>
  <c r="Y317" i="8" s="1"/>
  <c r="B316" i="8"/>
  <c r="M316" i="8" s="1"/>
  <c r="AD315" i="8"/>
  <c r="AC315" i="8"/>
  <c r="AO315" i="8" l="1"/>
  <c r="A316" i="8"/>
  <c r="X316" i="8"/>
  <c r="Q315" i="8"/>
  <c r="P316" i="8" s="1"/>
  <c r="AI316" i="8"/>
  <c r="AH316" i="8"/>
  <c r="AG316" i="8"/>
  <c r="AD316" i="8"/>
  <c r="AC316" i="8"/>
  <c r="B317" i="8"/>
  <c r="M317" i="8" s="1"/>
  <c r="C318" i="8"/>
  <c r="Y318" i="8" s="1"/>
  <c r="AO316" i="8" l="1"/>
  <c r="A317" i="8"/>
  <c r="X317" i="8"/>
  <c r="Q316" i="8"/>
  <c r="P317" i="8" s="1"/>
  <c r="AG317" i="8"/>
  <c r="AI317" i="8"/>
  <c r="AH317" i="8"/>
  <c r="C319" i="8"/>
  <c r="Y319" i="8" s="1"/>
  <c r="B318" i="8"/>
  <c r="M318" i="8" s="1"/>
  <c r="AD317" i="8"/>
  <c r="AC317" i="8"/>
  <c r="AO317" i="8" l="1"/>
  <c r="A318" i="8"/>
  <c r="X318" i="8"/>
  <c r="Q317" i="8"/>
  <c r="P318" i="8" s="1"/>
  <c r="AG318" i="8"/>
  <c r="AH318" i="8"/>
  <c r="AI318" i="8"/>
  <c r="AD318" i="8"/>
  <c r="AC318" i="8"/>
  <c r="B319" i="8"/>
  <c r="M319" i="8" s="1"/>
  <c r="C320" i="8"/>
  <c r="Y320" i="8" s="1"/>
  <c r="AO318" i="8" l="1"/>
  <c r="A319" i="8"/>
  <c r="X319" i="8"/>
  <c r="Q318" i="8"/>
  <c r="P319" i="8" s="1"/>
  <c r="AH319" i="8"/>
  <c r="AI319" i="8"/>
  <c r="AG319" i="8"/>
  <c r="AD319" i="8"/>
  <c r="AC319" i="8"/>
  <c r="C321" i="8"/>
  <c r="Y321" i="8" s="1"/>
  <c r="B320" i="8"/>
  <c r="M320" i="8" s="1"/>
  <c r="AO319" i="8" l="1"/>
  <c r="A320" i="8"/>
  <c r="X320" i="8"/>
  <c r="Q319" i="8"/>
  <c r="P320" i="8" s="1"/>
  <c r="AI320" i="8"/>
  <c r="AH320" i="8"/>
  <c r="AG320" i="8"/>
  <c r="AD320" i="8"/>
  <c r="AC320" i="8"/>
  <c r="C322" i="8"/>
  <c r="Y322" i="8" s="1"/>
  <c r="B321" i="8"/>
  <c r="M321" i="8" s="1"/>
  <c r="AO320" i="8" l="1"/>
  <c r="A321" i="8"/>
  <c r="X321" i="8"/>
  <c r="Q320" i="8"/>
  <c r="P321" i="8" s="1"/>
  <c r="AG321" i="8"/>
  <c r="AI321" i="8"/>
  <c r="AH321" i="8"/>
  <c r="C323" i="8"/>
  <c r="Y323" i="8" s="1"/>
  <c r="B322" i="8"/>
  <c r="M322" i="8" s="1"/>
  <c r="AD321" i="8"/>
  <c r="AC321" i="8"/>
  <c r="AO321" i="8" l="1"/>
  <c r="A322" i="8"/>
  <c r="X322" i="8"/>
  <c r="Q321" i="8"/>
  <c r="P322" i="8" s="1"/>
  <c r="AG322" i="8"/>
  <c r="AH322" i="8"/>
  <c r="AI322" i="8"/>
  <c r="AD322" i="8"/>
  <c r="AC322" i="8"/>
  <c r="B323" i="8"/>
  <c r="M323" i="8" s="1"/>
  <c r="C324" i="8"/>
  <c r="Y324" i="8" s="1"/>
  <c r="AO322" i="8" l="1"/>
  <c r="A323" i="8"/>
  <c r="X323" i="8"/>
  <c r="Q322" i="8"/>
  <c r="P323" i="8" s="1"/>
  <c r="AH323" i="8"/>
  <c r="AI323" i="8"/>
  <c r="AG323" i="8"/>
  <c r="C325" i="8"/>
  <c r="Y325" i="8" s="1"/>
  <c r="B324" i="8"/>
  <c r="M324" i="8" s="1"/>
  <c r="AD323" i="8"/>
  <c r="AC323" i="8"/>
  <c r="AO323" i="8" l="1"/>
  <c r="Q323" i="8"/>
  <c r="P324" i="8" s="1"/>
  <c r="A324" i="8"/>
  <c r="X324" i="8"/>
  <c r="AI324" i="8"/>
  <c r="AH324" i="8"/>
  <c r="AG324" i="8"/>
  <c r="AD324" i="8"/>
  <c r="AC324" i="8"/>
  <c r="C326" i="8"/>
  <c r="Y326" i="8" s="1"/>
  <c r="B325" i="8"/>
  <c r="M325" i="8" s="1"/>
  <c r="AO324" i="8" l="1"/>
  <c r="A325" i="8"/>
  <c r="X325" i="8"/>
  <c r="Q324" i="8"/>
  <c r="P325" i="8" s="1"/>
  <c r="AG325" i="8"/>
  <c r="AI325" i="8"/>
  <c r="AH325" i="8"/>
  <c r="AD325" i="8"/>
  <c r="AC325" i="8"/>
  <c r="B326" i="8"/>
  <c r="M326" i="8" s="1"/>
  <c r="C327" i="8"/>
  <c r="Y327" i="8" s="1"/>
  <c r="AO325" i="8" l="1"/>
  <c r="A326" i="8"/>
  <c r="X326" i="8"/>
  <c r="Q325" i="8"/>
  <c r="P326" i="8" s="1"/>
  <c r="AG326" i="8"/>
  <c r="AH326" i="8"/>
  <c r="AI326" i="8"/>
  <c r="AD326" i="8"/>
  <c r="AC326" i="8"/>
  <c r="C328" i="8"/>
  <c r="Y328" i="8" s="1"/>
  <c r="B327" i="8"/>
  <c r="M327" i="8" s="1"/>
  <c r="AO326" i="8" l="1"/>
  <c r="A327" i="8"/>
  <c r="X327" i="8"/>
  <c r="Q326" i="8"/>
  <c r="P327" i="8" s="1"/>
  <c r="AH327" i="8"/>
  <c r="AI327" i="8"/>
  <c r="AG327" i="8"/>
  <c r="AD327" i="8"/>
  <c r="AC327" i="8"/>
  <c r="C329" i="8"/>
  <c r="Y329" i="8" s="1"/>
  <c r="B328" i="8"/>
  <c r="M328" i="8" s="1"/>
  <c r="AO327" i="8" l="1"/>
  <c r="A328" i="8"/>
  <c r="X328" i="8"/>
  <c r="Q327" i="8"/>
  <c r="P328" i="8" s="1"/>
  <c r="AI328" i="8"/>
  <c r="AH328" i="8"/>
  <c r="AG328" i="8"/>
  <c r="B329" i="8"/>
  <c r="M329" i="8" s="1"/>
  <c r="C330" i="8"/>
  <c r="Y330" i="8" s="1"/>
  <c r="AC328" i="8"/>
  <c r="AD328" i="8"/>
  <c r="AO328" i="8" l="1"/>
  <c r="A329" i="8"/>
  <c r="X329" i="8"/>
  <c r="Q328" i="8"/>
  <c r="P329" i="8" s="1"/>
  <c r="AH329" i="8"/>
  <c r="AI329" i="8"/>
  <c r="AG329" i="8"/>
  <c r="B330" i="8"/>
  <c r="M330" i="8" s="1"/>
  <c r="C331" i="8"/>
  <c r="Y331" i="8" s="1"/>
  <c r="AD329" i="8"/>
  <c r="AC329" i="8"/>
  <c r="AO329" i="8" l="1"/>
  <c r="A330" i="8"/>
  <c r="X330" i="8"/>
  <c r="Q329" i="8"/>
  <c r="P330" i="8" s="1"/>
  <c r="AG330" i="8"/>
  <c r="AH330" i="8"/>
  <c r="AI330" i="8"/>
  <c r="C332" i="8"/>
  <c r="Y332" i="8" s="1"/>
  <c r="B331" i="8"/>
  <c r="M331" i="8" s="1"/>
  <c r="AD330" i="8"/>
  <c r="AC330" i="8"/>
  <c r="AO330" i="8" l="1"/>
  <c r="A331" i="8"/>
  <c r="X331" i="8"/>
  <c r="Q330" i="8"/>
  <c r="P331" i="8" s="1"/>
  <c r="AH331" i="8"/>
  <c r="AG331" i="8"/>
  <c r="AI331" i="8"/>
  <c r="AD331" i="8"/>
  <c r="AC331" i="8"/>
  <c r="C333" i="8"/>
  <c r="Y333" i="8" s="1"/>
  <c r="B332" i="8"/>
  <c r="M332" i="8" s="1"/>
  <c r="AO331" i="8" l="1"/>
  <c r="A332" i="8"/>
  <c r="X332" i="8"/>
  <c r="Q331" i="8"/>
  <c r="P332" i="8" s="1"/>
  <c r="AI332" i="8"/>
  <c r="AG332" i="8"/>
  <c r="AH332" i="8"/>
  <c r="AD332" i="8"/>
  <c r="AC332" i="8"/>
  <c r="B333" i="8"/>
  <c r="M333" i="8" s="1"/>
  <c r="C334" i="8"/>
  <c r="Y334" i="8" s="1"/>
  <c r="AO332" i="8" l="1"/>
  <c r="A333" i="8"/>
  <c r="X333" i="8"/>
  <c r="Q332" i="8"/>
  <c r="P333" i="8" s="1"/>
  <c r="AG333" i="8"/>
  <c r="AH333" i="8"/>
  <c r="AI333" i="8"/>
  <c r="B334" i="8"/>
  <c r="M334" i="8" s="1"/>
  <c r="C335" i="8"/>
  <c r="Y335" i="8" s="1"/>
  <c r="AD333" i="8"/>
  <c r="AC333" i="8"/>
  <c r="AO333" i="8" l="1"/>
  <c r="A334" i="8"/>
  <c r="X334" i="8"/>
  <c r="Q333" i="8"/>
  <c r="P334" i="8" s="1"/>
  <c r="AG334" i="8"/>
  <c r="AI334" i="8"/>
  <c r="AH334" i="8"/>
  <c r="B335" i="8"/>
  <c r="M335" i="8" s="1"/>
  <c r="C336" i="8"/>
  <c r="Y336" i="8" s="1"/>
  <c r="AD334" i="8"/>
  <c r="AC334" i="8"/>
  <c r="AO334" i="8" l="1"/>
  <c r="A335" i="8"/>
  <c r="X335" i="8"/>
  <c r="Q334" i="8"/>
  <c r="P335" i="8" s="1"/>
  <c r="AH335" i="8"/>
  <c r="AI335" i="8"/>
  <c r="AG335" i="8"/>
  <c r="C337" i="8"/>
  <c r="Y337" i="8" s="1"/>
  <c r="B336" i="8"/>
  <c r="M336" i="8" s="1"/>
  <c r="AD335" i="8"/>
  <c r="AC335" i="8"/>
  <c r="AO335" i="8" l="1"/>
  <c r="A336" i="8"/>
  <c r="X336" i="8"/>
  <c r="Q335" i="8"/>
  <c r="P336" i="8" s="1"/>
  <c r="AI336" i="8"/>
  <c r="AH336" i="8"/>
  <c r="AG336" i="8"/>
  <c r="AD336" i="8"/>
  <c r="AC336" i="8"/>
  <c r="B337" i="8"/>
  <c r="M337" i="8" s="1"/>
  <c r="C338" i="8"/>
  <c r="Y338" i="8" s="1"/>
  <c r="AO336" i="8" l="1"/>
  <c r="A337" i="8"/>
  <c r="X337" i="8"/>
  <c r="Q336" i="8"/>
  <c r="P337" i="8" s="1"/>
  <c r="AG337" i="8"/>
  <c r="AH337" i="8"/>
  <c r="AI337" i="8"/>
  <c r="C339" i="8"/>
  <c r="Y339" i="8" s="1"/>
  <c r="B338" i="8"/>
  <c r="M338" i="8" s="1"/>
  <c r="AD337" i="8"/>
  <c r="AC337" i="8"/>
  <c r="AO337" i="8" l="1"/>
  <c r="A338" i="8"/>
  <c r="X338" i="8"/>
  <c r="Q337" i="8"/>
  <c r="P338" i="8" s="1"/>
  <c r="AG338" i="8"/>
  <c r="AH338" i="8"/>
  <c r="AI338" i="8"/>
  <c r="AD338" i="8"/>
  <c r="AC338" i="8"/>
  <c r="C340" i="8"/>
  <c r="Y340" i="8" s="1"/>
  <c r="B339" i="8"/>
  <c r="M339" i="8" s="1"/>
  <c r="AO338" i="8" l="1"/>
  <c r="A339" i="8"/>
  <c r="X339" i="8"/>
  <c r="Q338" i="8"/>
  <c r="P339" i="8" s="1"/>
  <c r="AH339" i="8"/>
  <c r="AG339" i="8"/>
  <c r="AI339" i="8"/>
  <c r="AD339" i="8"/>
  <c r="AC339" i="8"/>
  <c r="C341" i="8"/>
  <c r="Y341" i="8" s="1"/>
  <c r="B340" i="8"/>
  <c r="M340" i="8" s="1"/>
  <c r="AO339" i="8" l="1"/>
  <c r="A340" i="8"/>
  <c r="X340" i="8"/>
  <c r="Q339" i="8"/>
  <c r="P340" i="8" s="1"/>
  <c r="AI340" i="8"/>
  <c r="AG340" i="8"/>
  <c r="AH340" i="8"/>
  <c r="B341" i="8"/>
  <c r="M341" i="8" s="1"/>
  <c r="C342" i="8"/>
  <c r="Y342" i="8" s="1"/>
  <c r="AD340" i="8"/>
  <c r="AC340" i="8"/>
  <c r="AO340" i="8" l="1"/>
  <c r="A341" i="8"/>
  <c r="X341" i="8"/>
  <c r="Q340" i="8"/>
  <c r="P341" i="8" s="1"/>
  <c r="AI341" i="8"/>
  <c r="AG341" i="8"/>
  <c r="AH341" i="8"/>
  <c r="C343" i="8"/>
  <c r="Y343" i="8" s="1"/>
  <c r="B342" i="8"/>
  <c r="M342" i="8" s="1"/>
  <c r="AD341" i="8"/>
  <c r="AC341" i="8"/>
  <c r="AO341" i="8" l="1"/>
  <c r="A342" i="8"/>
  <c r="X342" i="8"/>
  <c r="Q341" i="8"/>
  <c r="P342" i="8" s="1"/>
  <c r="AG342" i="8"/>
  <c r="AH342" i="8"/>
  <c r="AI342" i="8"/>
  <c r="AD342" i="8"/>
  <c r="AC342" i="8"/>
  <c r="B343" i="8"/>
  <c r="M343" i="8" s="1"/>
  <c r="C344" i="8"/>
  <c r="Y344" i="8" s="1"/>
  <c r="AO342" i="8" l="1"/>
  <c r="A343" i="8"/>
  <c r="X343" i="8"/>
  <c r="Q342" i="8"/>
  <c r="P343" i="8" s="1"/>
  <c r="AH343" i="8"/>
  <c r="AI343" i="8"/>
  <c r="AG343" i="8"/>
  <c r="C345" i="8"/>
  <c r="Y345" i="8" s="1"/>
  <c r="B344" i="8"/>
  <c r="M344" i="8" s="1"/>
  <c r="AD343" i="8"/>
  <c r="AC343" i="8"/>
  <c r="AO343" i="8" l="1"/>
  <c r="A344" i="8"/>
  <c r="X344" i="8"/>
  <c r="Q343" i="8"/>
  <c r="P344" i="8" s="1"/>
  <c r="AI344" i="8"/>
  <c r="AG344" i="8"/>
  <c r="AH344" i="8"/>
  <c r="AC344" i="8"/>
  <c r="AD344" i="8"/>
  <c r="C346" i="8"/>
  <c r="Y346" i="8" s="1"/>
  <c r="B345" i="8"/>
  <c r="M345" i="8" s="1"/>
  <c r="AO344" i="8" l="1"/>
  <c r="A345" i="8"/>
  <c r="X345" i="8"/>
  <c r="Q344" i="8"/>
  <c r="P345" i="8" s="1"/>
  <c r="AH345" i="8"/>
  <c r="AG345" i="8"/>
  <c r="AI345" i="8"/>
  <c r="AD345" i="8"/>
  <c r="AC345" i="8"/>
  <c r="C347" i="8"/>
  <c r="Y347" i="8" s="1"/>
  <c r="B346" i="8"/>
  <c r="M346" i="8" s="1"/>
  <c r="AO345" i="8" l="1"/>
  <c r="A346" i="8"/>
  <c r="X346" i="8"/>
  <c r="Q345" i="8"/>
  <c r="P346" i="8" s="1"/>
  <c r="AG346" i="8"/>
  <c r="AH346" i="8"/>
  <c r="AI346" i="8"/>
  <c r="AD346" i="8"/>
  <c r="AC346" i="8"/>
  <c r="B347" i="8"/>
  <c r="M347" i="8" s="1"/>
  <c r="C348" i="8"/>
  <c r="Y348" i="8" s="1"/>
  <c r="AO346" i="8" l="1"/>
  <c r="A347" i="8"/>
  <c r="X347" i="8"/>
  <c r="AH347" i="8"/>
  <c r="AG347" i="8"/>
  <c r="AI347" i="8"/>
  <c r="Q346" i="8"/>
  <c r="P347" i="8" s="1"/>
  <c r="C349" i="8"/>
  <c r="Y349" i="8" s="1"/>
  <c r="B348" i="8"/>
  <c r="M348" i="8" s="1"/>
  <c r="AD347" i="8"/>
  <c r="AC347" i="8"/>
  <c r="AO347" i="8" l="1"/>
  <c r="A348" i="8"/>
  <c r="X348" i="8"/>
  <c r="Q347" i="8"/>
  <c r="P348" i="8" s="1"/>
  <c r="AI348" i="8"/>
  <c r="AG348" i="8"/>
  <c r="AH348" i="8"/>
  <c r="AD348" i="8"/>
  <c r="AC348" i="8"/>
  <c r="C350" i="8"/>
  <c r="Y350" i="8" s="1"/>
  <c r="B349" i="8"/>
  <c r="M349" i="8" s="1"/>
  <c r="AO348" i="8" l="1"/>
  <c r="A349" i="8"/>
  <c r="X349" i="8"/>
  <c r="AG349" i="8"/>
  <c r="AH349" i="8"/>
  <c r="AI349" i="8"/>
  <c r="Q348" i="8"/>
  <c r="P349" i="8" s="1"/>
  <c r="AD349" i="8"/>
  <c r="AC349" i="8"/>
  <c r="C351" i="8"/>
  <c r="Y351" i="8" s="1"/>
  <c r="B350" i="8"/>
  <c r="M350" i="8" s="1"/>
  <c r="AO349" i="8" l="1"/>
  <c r="A350" i="8"/>
  <c r="X350" i="8"/>
  <c r="Q349" i="8"/>
  <c r="P350" i="8" s="1"/>
  <c r="AG350" i="8"/>
  <c r="AI350" i="8"/>
  <c r="AH350" i="8"/>
  <c r="AD350" i="8"/>
  <c r="AC350" i="8"/>
  <c r="B351" i="8"/>
  <c r="M351" i="8" s="1"/>
  <c r="C352" i="8"/>
  <c r="Y352" i="8" s="1"/>
  <c r="AO350" i="8" l="1"/>
  <c r="A351" i="8"/>
  <c r="X351" i="8"/>
  <c r="AH351" i="8"/>
  <c r="AI351" i="8"/>
  <c r="AG351" i="8"/>
  <c r="Q350" i="8"/>
  <c r="P351" i="8" s="1"/>
  <c r="AD351" i="8"/>
  <c r="AC351" i="8"/>
  <c r="C353" i="8"/>
  <c r="Y353" i="8" s="1"/>
  <c r="B352" i="8"/>
  <c r="M352" i="8" s="1"/>
  <c r="AO351" i="8" l="1"/>
  <c r="A352" i="8"/>
  <c r="X352" i="8"/>
  <c r="AI352" i="8"/>
  <c r="AH352" i="8"/>
  <c r="AG352" i="8"/>
  <c r="Q351" i="8"/>
  <c r="P352" i="8" s="1"/>
  <c r="AD352" i="8"/>
  <c r="AC352" i="8"/>
  <c r="B353" i="8"/>
  <c r="M353" i="8" s="1"/>
  <c r="C354" i="8"/>
  <c r="Y354" i="8" s="1"/>
  <c r="AO352" i="8" l="1"/>
  <c r="A353" i="8"/>
  <c r="X353" i="8"/>
  <c r="AG353" i="8"/>
  <c r="AH353" i="8"/>
  <c r="AI353" i="8"/>
  <c r="Q352" i="8"/>
  <c r="P353" i="8" s="1"/>
  <c r="B354" i="8"/>
  <c r="M354" i="8" s="1"/>
  <c r="C355" i="8"/>
  <c r="Y355" i="8" s="1"/>
  <c r="AD353" i="8"/>
  <c r="AC353" i="8"/>
  <c r="AO353" i="8" l="1"/>
  <c r="A354" i="8"/>
  <c r="X354" i="8"/>
  <c r="Q353" i="8"/>
  <c r="P354" i="8" s="1"/>
  <c r="AG354" i="8"/>
  <c r="AH354" i="8"/>
  <c r="AI354" i="8"/>
  <c r="B355" i="8"/>
  <c r="M355" i="8" s="1"/>
  <c r="C356" i="8"/>
  <c r="Y356" i="8" s="1"/>
  <c r="AD354" i="8"/>
  <c r="AC354" i="8"/>
  <c r="AO354" i="8" l="1"/>
  <c r="A355" i="8"/>
  <c r="X355" i="8"/>
  <c r="AH355" i="8"/>
  <c r="AG355" i="8"/>
  <c r="AI355" i="8"/>
  <c r="Q354" i="8"/>
  <c r="P355" i="8" s="1"/>
  <c r="C357" i="8"/>
  <c r="Y357" i="8" s="1"/>
  <c r="B356" i="8"/>
  <c r="M356" i="8" s="1"/>
  <c r="AD355" i="8"/>
  <c r="AC355" i="8"/>
  <c r="AO355" i="8" l="1"/>
  <c r="A356" i="8"/>
  <c r="X356" i="8"/>
  <c r="Q355" i="8"/>
  <c r="P356" i="8" s="1"/>
  <c r="AI356" i="8"/>
  <c r="AG356" i="8"/>
  <c r="AH356" i="8"/>
  <c r="AD356" i="8"/>
  <c r="AC356" i="8"/>
  <c r="B357" i="8"/>
  <c r="M357" i="8" s="1"/>
  <c r="C358" i="8"/>
  <c r="Y358" i="8" s="1"/>
  <c r="AO356" i="8" l="1"/>
  <c r="A357" i="8"/>
  <c r="X357" i="8"/>
  <c r="Q356" i="8"/>
  <c r="P357" i="8" s="1"/>
  <c r="AI357" i="8"/>
  <c r="AG357" i="8"/>
  <c r="AH357" i="8"/>
  <c r="B358" i="8"/>
  <c r="M358" i="8" s="1"/>
  <c r="C359" i="8"/>
  <c r="Y359" i="8" s="1"/>
  <c r="AD357" i="8"/>
  <c r="AC357" i="8"/>
  <c r="AO357" i="8" l="1"/>
  <c r="A358" i="8"/>
  <c r="X358" i="8"/>
  <c r="Q357" i="8"/>
  <c r="P358" i="8" s="1"/>
  <c r="AG358" i="8"/>
  <c r="AH358" i="8"/>
  <c r="AI358" i="8"/>
  <c r="C360" i="8"/>
  <c r="Y360" i="8" s="1"/>
  <c r="B359" i="8"/>
  <c r="M359" i="8" s="1"/>
  <c r="AD358" i="8"/>
  <c r="AC358" i="8"/>
  <c r="AO358" i="8" l="1"/>
  <c r="A359" i="8"/>
  <c r="X359" i="8"/>
  <c r="Q358" i="8"/>
  <c r="P359" i="8" s="1"/>
  <c r="AH359" i="8"/>
  <c r="AI359" i="8"/>
  <c r="AG359" i="8"/>
  <c r="AD359" i="8"/>
  <c r="AC359" i="8"/>
  <c r="C361" i="8"/>
  <c r="Y361" i="8" s="1"/>
  <c r="B360" i="8"/>
  <c r="M360" i="8" s="1"/>
  <c r="AO359" i="8" l="1"/>
  <c r="A360" i="8"/>
  <c r="X360" i="8"/>
  <c r="Q359" i="8"/>
  <c r="P360" i="8" s="1"/>
  <c r="AI360" i="8"/>
  <c r="AH360" i="8"/>
  <c r="AG360" i="8"/>
  <c r="AC360" i="8"/>
  <c r="AD360" i="8"/>
  <c r="B361" i="8"/>
  <c r="M361" i="8" s="1"/>
  <c r="C362" i="8"/>
  <c r="Y362" i="8" s="1"/>
  <c r="AO360" i="8" l="1"/>
  <c r="A361" i="8"/>
  <c r="X361" i="8"/>
  <c r="AH361" i="8"/>
  <c r="AG361" i="8"/>
  <c r="AI361" i="8"/>
  <c r="Q360" i="8"/>
  <c r="P361" i="8" s="1"/>
  <c r="AD361" i="8"/>
  <c r="AC361" i="8"/>
  <c r="B362" i="8"/>
  <c r="M362" i="8" s="1"/>
  <c r="C363" i="8"/>
  <c r="Y363" i="8" s="1"/>
  <c r="AO361" i="8" l="1"/>
  <c r="A362" i="8"/>
  <c r="X362" i="8"/>
  <c r="AG362" i="8"/>
  <c r="AH362" i="8"/>
  <c r="AI362" i="8"/>
  <c r="Q361" i="8"/>
  <c r="P362" i="8" s="1"/>
  <c r="B363" i="8"/>
  <c r="M363" i="8" s="1"/>
  <c r="C364" i="8"/>
  <c r="Y364" i="8" s="1"/>
  <c r="AD362" i="8"/>
  <c r="AC362" i="8"/>
  <c r="AO362" i="8" l="1"/>
  <c r="A363" i="8"/>
  <c r="X363" i="8"/>
  <c r="Q362" i="8"/>
  <c r="P363" i="8" s="1"/>
  <c r="AH363" i="8"/>
  <c r="AG363" i="8"/>
  <c r="AI363" i="8"/>
  <c r="B364" i="8"/>
  <c r="M364" i="8" s="1"/>
  <c r="C365" i="8"/>
  <c r="Y365" i="8" s="1"/>
  <c r="AD363" i="8"/>
  <c r="AC363" i="8"/>
  <c r="AO363" i="8" l="1"/>
  <c r="Q363" i="8"/>
  <c r="P364" i="8" s="1"/>
  <c r="A364" i="8"/>
  <c r="X364" i="8"/>
  <c r="AI364" i="8"/>
  <c r="AG364" i="8"/>
  <c r="AH364" i="8"/>
  <c r="B365" i="8"/>
  <c r="M365" i="8" s="1"/>
  <c r="C366" i="8"/>
  <c r="Y366" i="8" s="1"/>
  <c r="AD364" i="8"/>
  <c r="AC364" i="8"/>
  <c r="AO364" i="8" l="1"/>
  <c r="A365" i="8"/>
  <c r="X365" i="8"/>
  <c r="Q364" i="8"/>
  <c r="P365" i="8" s="1"/>
  <c r="AG365" i="8"/>
  <c r="AH365" i="8"/>
  <c r="AI365" i="8"/>
  <c r="C367" i="8"/>
  <c r="Y367" i="8" s="1"/>
  <c r="B366" i="8"/>
  <c r="M366" i="8" s="1"/>
  <c r="AD365" i="8"/>
  <c r="AC365" i="8"/>
  <c r="AO365" i="8" l="1"/>
  <c r="A366" i="8"/>
  <c r="X366" i="8"/>
  <c r="Q365" i="8"/>
  <c r="P366" i="8" s="1"/>
  <c r="AG366" i="8"/>
  <c r="AI366" i="8"/>
  <c r="AH366" i="8"/>
  <c r="AD366" i="8"/>
  <c r="AC366" i="8"/>
  <c r="B367" i="8"/>
  <c r="M367" i="8" s="1"/>
  <c r="C368" i="8"/>
  <c r="Y368" i="8" s="1"/>
  <c r="AO366" i="8" l="1"/>
  <c r="A367" i="8"/>
  <c r="X367" i="8"/>
  <c r="Q366" i="8"/>
  <c r="P367" i="8" s="1"/>
  <c r="AH367" i="8"/>
  <c r="AI367" i="8"/>
  <c r="AG367" i="8"/>
  <c r="B368" i="8"/>
  <c r="M368" i="8" s="1"/>
  <c r="C369" i="8"/>
  <c r="Y369" i="8" s="1"/>
  <c r="AD367" i="8"/>
  <c r="AC367" i="8"/>
  <c r="AO367" i="8" l="1"/>
  <c r="A368" i="8"/>
  <c r="X368" i="8"/>
  <c r="Q367" i="8"/>
  <c r="P368" i="8" s="1"/>
  <c r="AI368" i="8"/>
  <c r="AH368" i="8"/>
  <c r="AG368" i="8"/>
  <c r="C370" i="8"/>
  <c r="Y370" i="8" s="1"/>
  <c r="B369" i="8"/>
  <c r="M369" i="8" s="1"/>
  <c r="AD368" i="8"/>
  <c r="AC368" i="8"/>
  <c r="AO368" i="8" l="1"/>
  <c r="A369" i="8"/>
  <c r="X369" i="8"/>
  <c r="Q368" i="8"/>
  <c r="P369" i="8" s="1"/>
  <c r="AH369" i="8"/>
  <c r="AG369" i="8"/>
  <c r="AI369" i="8"/>
  <c r="AD369" i="8"/>
  <c r="AC369" i="8"/>
  <c r="B370" i="8"/>
  <c r="M370" i="8" s="1"/>
  <c r="C371" i="8"/>
  <c r="Y371" i="8" s="1"/>
  <c r="AO369" i="8" l="1"/>
  <c r="A370" i="8"/>
  <c r="X370" i="8"/>
  <c r="Q369" i="8"/>
  <c r="P370" i="8" s="1"/>
  <c r="AG370" i="8"/>
  <c r="AH370" i="8"/>
  <c r="AI370" i="8"/>
  <c r="C372" i="8"/>
  <c r="Y372" i="8" s="1"/>
  <c r="B371" i="8"/>
  <c r="M371" i="8" s="1"/>
  <c r="AD370" i="8"/>
  <c r="AC370" i="8"/>
  <c r="AO370" i="8" l="1"/>
  <c r="A371" i="8"/>
  <c r="X371" i="8"/>
  <c r="Q370" i="8"/>
  <c r="P371" i="8" s="1"/>
  <c r="AH371" i="8"/>
  <c r="AG371" i="8"/>
  <c r="AI371" i="8"/>
  <c r="AD371" i="8"/>
  <c r="AC371" i="8"/>
  <c r="B372" i="8"/>
  <c r="M372" i="8" s="1"/>
  <c r="C373" i="8"/>
  <c r="Y373" i="8" s="1"/>
  <c r="AO371" i="8" l="1"/>
  <c r="A372" i="8"/>
  <c r="X372" i="8"/>
  <c r="Q371" i="8"/>
  <c r="P372" i="8" s="1"/>
  <c r="AI372" i="8"/>
  <c r="AG372" i="8"/>
  <c r="AH372" i="8"/>
  <c r="C374" i="8"/>
  <c r="Y374" i="8" s="1"/>
  <c r="B373" i="8"/>
  <c r="M373" i="8" s="1"/>
  <c r="AD372" i="8"/>
  <c r="AC372" i="8"/>
  <c r="AO372" i="8" l="1"/>
  <c r="A373" i="8"/>
  <c r="X373" i="8"/>
  <c r="Q372" i="8"/>
  <c r="P373" i="8" s="1"/>
  <c r="AI373" i="8"/>
  <c r="AG373" i="8"/>
  <c r="AH373" i="8"/>
  <c r="AD373" i="8"/>
  <c r="AC373" i="8"/>
  <c r="C375" i="8"/>
  <c r="Y375" i="8" s="1"/>
  <c r="B374" i="8"/>
  <c r="M374" i="8" s="1"/>
  <c r="AO373" i="8" l="1"/>
  <c r="A374" i="8"/>
  <c r="X374" i="8"/>
  <c r="Q373" i="8"/>
  <c r="P374" i="8" s="1"/>
  <c r="AG374" i="8"/>
  <c r="AH374" i="8"/>
  <c r="AI374" i="8"/>
  <c r="AD374" i="8"/>
  <c r="AC374" i="8"/>
  <c r="C376" i="8"/>
  <c r="Y376" i="8" s="1"/>
  <c r="B375" i="8"/>
  <c r="M375" i="8" s="1"/>
  <c r="AO374" i="8" l="1"/>
  <c r="A375" i="8"/>
  <c r="X375" i="8"/>
  <c r="Q374" i="8"/>
  <c r="P375" i="8" s="1"/>
  <c r="AH375" i="8"/>
  <c r="AI375" i="8"/>
  <c r="AG375" i="8"/>
  <c r="AD375" i="8"/>
  <c r="AC375" i="8"/>
  <c r="B376" i="8"/>
  <c r="M376" i="8" s="1"/>
  <c r="C377" i="8"/>
  <c r="Y377" i="8" s="1"/>
  <c r="AO375" i="8" l="1"/>
  <c r="A376" i="8"/>
  <c r="X376" i="8"/>
  <c r="Q375" i="8"/>
  <c r="P376" i="8" s="1"/>
  <c r="AI376" i="8"/>
  <c r="AH376" i="8"/>
  <c r="AG376" i="8"/>
  <c r="B377" i="8"/>
  <c r="M377" i="8" s="1"/>
  <c r="C378" i="8"/>
  <c r="Y378" i="8" s="1"/>
  <c r="AC376" i="8"/>
  <c r="AD376" i="8"/>
  <c r="AO376" i="8" l="1"/>
  <c r="A377" i="8"/>
  <c r="X377" i="8"/>
  <c r="Q376" i="8"/>
  <c r="P377" i="8" s="1"/>
  <c r="AH377" i="8"/>
  <c r="AG377" i="8"/>
  <c r="AI377" i="8"/>
  <c r="C379" i="8"/>
  <c r="Y379" i="8" s="1"/>
  <c r="B378" i="8"/>
  <c r="M378" i="8" s="1"/>
  <c r="AD377" i="8"/>
  <c r="AC377" i="8"/>
  <c r="AO377" i="8" l="1"/>
  <c r="A378" i="8"/>
  <c r="X378" i="8"/>
  <c r="Q377" i="8"/>
  <c r="P378" i="8" s="1"/>
  <c r="AG378" i="8"/>
  <c r="AH378" i="8"/>
  <c r="AI378" i="8"/>
  <c r="AD378" i="8"/>
  <c r="AC378" i="8"/>
  <c r="B379" i="8"/>
  <c r="M379" i="8" s="1"/>
  <c r="C380" i="8"/>
  <c r="Y380" i="8" s="1"/>
  <c r="AO378" i="8" l="1"/>
  <c r="A379" i="8"/>
  <c r="X379" i="8"/>
  <c r="Q378" i="8"/>
  <c r="P379" i="8" s="1"/>
  <c r="AH379" i="8"/>
  <c r="AG379" i="8"/>
  <c r="AI379" i="8"/>
  <c r="B380" i="8"/>
  <c r="M380" i="8" s="1"/>
  <c r="C381" i="8"/>
  <c r="Y381" i="8" s="1"/>
  <c r="AD379" i="8"/>
  <c r="AC379" i="8"/>
  <c r="AO379" i="8" l="1"/>
  <c r="A380" i="8"/>
  <c r="X380" i="8"/>
  <c r="Q379" i="8"/>
  <c r="P380" i="8" s="1"/>
  <c r="AI380" i="8"/>
  <c r="AG380" i="8"/>
  <c r="AH380" i="8"/>
  <c r="AD380" i="8"/>
  <c r="AC380" i="8"/>
  <c r="B381" i="8"/>
  <c r="M381" i="8" s="1"/>
  <c r="C382" i="8"/>
  <c r="Y382" i="8" s="1"/>
  <c r="AO380" i="8" l="1"/>
  <c r="A381" i="8"/>
  <c r="X381" i="8"/>
  <c r="Q380" i="8"/>
  <c r="P381" i="8" s="1"/>
  <c r="AG381" i="8"/>
  <c r="AI381" i="8"/>
  <c r="AH381" i="8"/>
  <c r="C383" i="8"/>
  <c r="Y383" i="8" s="1"/>
  <c r="B382" i="8"/>
  <c r="M382" i="8" s="1"/>
  <c r="AD381" i="8"/>
  <c r="AC381" i="8"/>
  <c r="AO381" i="8" l="1"/>
  <c r="A382" i="8"/>
  <c r="X382" i="8"/>
  <c r="Q381" i="8"/>
  <c r="P382" i="8" s="1"/>
  <c r="AG382" i="8"/>
  <c r="AI382" i="8"/>
  <c r="AH382" i="8"/>
  <c r="AD382" i="8"/>
  <c r="AC382" i="8"/>
  <c r="B383" i="8"/>
  <c r="M383" i="8" s="1"/>
  <c r="C384" i="8"/>
  <c r="Y384" i="8" s="1"/>
  <c r="AO382" i="8" l="1"/>
  <c r="A383" i="8"/>
  <c r="X383" i="8"/>
  <c r="Q382" i="8"/>
  <c r="P383" i="8" s="1"/>
  <c r="AH383" i="8"/>
  <c r="AG383" i="8"/>
  <c r="AI383" i="8"/>
  <c r="AD383" i="8"/>
  <c r="AC383" i="8"/>
  <c r="C385" i="8"/>
  <c r="Y385" i="8" s="1"/>
  <c r="B384" i="8"/>
  <c r="M384" i="8" s="1"/>
  <c r="AO383" i="8" l="1"/>
  <c r="A384" i="8"/>
  <c r="X384" i="8"/>
  <c r="Q383" i="8"/>
  <c r="P384" i="8" s="1"/>
  <c r="AI384" i="8"/>
  <c r="AH384" i="8"/>
  <c r="AG384" i="8"/>
  <c r="AD384" i="8"/>
  <c r="AC384" i="8"/>
  <c r="B385" i="8"/>
  <c r="M385" i="8" s="1"/>
  <c r="C386" i="8"/>
  <c r="Y386" i="8" s="1"/>
  <c r="AO384" i="8" l="1"/>
  <c r="A385" i="8"/>
  <c r="X385" i="8"/>
  <c r="Q384" i="8"/>
  <c r="P385" i="8" s="1"/>
  <c r="AH385" i="8"/>
  <c r="AI385" i="8"/>
  <c r="AG385" i="8"/>
  <c r="AD385" i="8"/>
  <c r="AC385" i="8"/>
  <c r="C387" i="8"/>
  <c r="Y387" i="8" s="1"/>
  <c r="B386" i="8"/>
  <c r="M386" i="8" s="1"/>
  <c r="AO385" i="8" l="1"/>
  <c r="A386" i="8"/>
  <c r="X386" i="8"/>
  <c r="Q385" i="8"/>
  <c r="P386" i="8" s="1"/>
  <c r="AG386" i="8"/>
  <c r="AH386" i="8"/>
  <c r="AI386" i="8"/>
  <c r="AD386" i="8"/>
  <c r="AC386" i="8"/>
  <c r="B387" i="8"/>
  <c r="M387" i="8" s="1"/>
  <c r="C388" i="8"/>
  <c r="Y388" i="8" s="1"/>
  <c r="AO386" i="8" l="1"/>
  <c r="A387" i="8"/>
  <c r="X387" i="8"/>
  <c r="Q386" i="8"/>
  <c r="P387" i="8" s="1"/>
  <c r="AH387" i="8"/>
  <c r="AG387" i="8"/>
  <c r="AI387" i="8"/>
  <c r="AD387" i="8"/>
  <c r="AC387" i="8"/>
  <c r="B388" i="8"/>
  <c r="M388" i="8" s="1"/>
  <c r="C389" i="8"/>
  <c r="Y389" i="8" s="1"/>
  <c r="AO387" i="8" l="1"/>
  <c r="A388" i="8"/>
  <c r="X388" i="8"/>
  <c r="Q387" i="8"/>
  <c r="P388" i="8" s="1"/>
  <c r="AI388" i="8"/>
  <c r="AG388" i="8"/>
  <c r="AH388" i="8"/>
  <c r="AD388" i="8"/>
  <c r="AC388" i="8"/>
  <c r="B389" i="8"/>
  <c r="M389" i="8" s="1"/>
  <c r="C390" i="8"/>
  <c r="Y390" i="8" s="1"/>
  <c r="AO388" i="8" l="1"/>
  <c r="A389" i="8"/>
  <c r="X389" i="8"/>
  <c r="Q388" i="8"/>
  <c r="P389" i="8" s="1"/>
  <c r="AI389" i="8"/>
  <c r="AG389" i="8"/>
  <c r="AH389" i="8"/>
  <c r="C391" i="8"/>
  <c r="Y391" i="8" s="1"/>
  <c r="B390" i="8"/>
  <c r="M390" i="8" s="1"/>
  <c r="AD389" i="8"/>
  <c r="AC389" i="8"/>
  <c r="AO389" i="8" l="1"/>
  <c r="A390" i="8"/>
  <c r="X390" i="8"/>
  <c r="Q389" i="8"/>
  <c r="P390" i="8" s="1"/>
  <c r="AG390" i="8"/>
  <c r="AI390" i="8"/>
  <c r="AH390" i="8"/>
  <c r="AD390" i="8"/>
  <c r="AC390" i="8"/>
  <c r="B391" i="8"/>
  <c r="M391" i="8" s="1"/>
  <c r="C392" i="8"/>
  <c r="Y392" i="8" s="1"/>
  <c r="AO390" i="8" l="1"/>
  <c r="A391" i="8"/>
  <c r="X391" i="8"/>
  <c r="Q390" i="8"/>
  <c r="P391" i="8" s="1"/>
  <c r="AH391" i="8"/>
  <c r="AI391" i="8"/>
  <c r="AG391" i="8"/>
  <c r="C393" i="8"/>
  <c r="Y393" i="8" s="1"/>
  <c r="B392" i="8"/>
  <c r="M392" i="8" s="1"/>
  <c r="AD391" i="8"/>
  <c r="AC391" i="8"/>
  <c r="AO391" i="8" l="1"/>
  <c r="A392" i="8"/>
  <c r="X392" i="8"/>
  <c r="Q391" i="8"/>
  <c r="P392" i="8" s="1"/>
  <c r="AI392" i="8"/>
  <c r="AG392" i="8"/>
  <c r="AH392" i="8"/>
  <c r="AC392" i="8"/>
  <c r="AD392" i="8"/>
  <c r="B393" i="8"/>
  <c r="M393" i="8" s="1"/>
  <c r="C394" i="8"/>
  <c r="Y394" i="8" s="1"/>
  <c r="AO392" i="8" l="1"/>
  <c r="A393" i="8"/>
  <c r="X393" i="8"/>
  <c r="Q392" i="8"/>
  <c r="P393" i="8" s="1"/>
  <c r="AH393" i="8"/>
  <c r="AG393" i="8"/>
  <c r="AI393" i="8"/>
  <c r="C395" i="8"/>
  <c r="Y395" i="8" s="1"/>
  <c r="B394" i="8"/>
  <c r="M394" i="8" s="1"/>
  <c r="AD393" i="8"/>
  <c r="AC393" i="8"/>
  <c r="AO393" i="8" l="1"/>
  <c r="A394" i="8"/>
  <c r="X394" i="8"/>
  <c r="Q393" i="8"/>
  <c r="P394" i="8" s="1"/>
  <c r="AG394" i="8"/>
  <c r="AH394" i="8"/>
  <c r="AI394" i="8"/>
  <c r="AD394" i="8"/>
  <c r="AC394" i="8"/>
  <c r="C396" i="8"/>
  <c r="Y396" i="8" s="1"/>
  <c r="B395" i="8"/>
  <c r="M395" i="8" s="1"/>
  <c r="AO394" i="8" l="1"/>
  <c r="Q394" i="8"/>
  <c r="P395" i="8" s="1"/>
  <c r="A395" i="8"/>
  <c r="X395" i="8"/>
  <c r="AH395" i="8"/>
  <c r="AG395" i="8"/>
  <c r="AI395" i="8"/>
  <c r="C397" i="8"/>
  <c r="Y397" i="8" s="1"/>
  <c r="B396" i="8"/>
  <c r="M396" i="8" s="1"/>
  <c r="AD395" i="8"/>
  <c r="AC395" i="8"/>
  <c r="AO395" i="8" l="1"/>
  <c r="Q395" i="8"/>
  <c r="P396" i="8" s="1"/>
  <c r="A396" i="8"/>
  <c r="X396" i="8"/>
  <c r="AI396" i="8"/>
  <c r="AG396" i="8"/>
  <c r="AH396" i="8"/>
  <c r="AD396" i="8"/>
  <c r="AC396" i="8"/>
  <c r="B397" i="8"/>
  <c r="M397" i="8" s="1"/>
  <c r="C398" i="8"/>
  <c r="Y398" i="8" s="1"/>
  <c r="AO396" i="8" l="1"/>
  <c r="A397" i="8"/>
  <c r="X397" i="8"/>
  <c r="Q396" i="8"/>
  <c r="P397" i="8" s="1"/>
  <c r="AG397" i="8"/>
  <c r="AH397" i="8"/>
  <c r="AI397" i="8"/>
  <c r="C399" i="8"/>
  <c r="Y399" i="8" s="1"/>
  <c r="B398" i="8"/>
  <c r="M398" i="8" s="1"/>
  <c r="AD397" i="8"/>
  <c r="AC397" i="8"/>
  <c r="AO397" i="8" l="1"/>
  <c r="A398" i="8"/>
  <c r="X398" i="8"/>
  <c r="Q397" i="8"/>
  <c r="P398" i="8" s="1"/>
  <c r="AG398" i="8"/>
  <c r="AI398" i="8"/>
  <c r="AH398" i="8"/>
  <c r="AD398" i="8"/>
  <c r="AC398" i="8"/>
  <c r="C400" i="8"/>
  <c r="Y400" i="8" s="1"/>
  <c r="B399" i="8"/>
  <c r="M399" i="8" s="1"/>
  <c r="AO398" i="8" l="1"/>
  <c r="A399" i="8"/>
  <c r="X399" i="8"/>
  <c r="Q398" i="8"/>
  <c r="P399" i="8" s="1"/>
  <c r="AH399" i="8"/>
  <c r="AI399" i="8"/>
  <c r="AG399" i="8"/>
  <c r="AD399" i="8"/>
  <c r="AC399" i="8"/>
  <c r="B400" i="8"/>
  <c r="M400" i="8" s="1"/>
  <c r="C401" i="8"/>
  <c r="Y401" i="8" s="1"/>
  <c r="AO399" i="8" l="1"/>
  <c r="A400" i="8"/>
  <c r="X400" i="8"/>
  <c r="Q399" i="8"/>
  <c r="P400" i="8" s="1"/>
  <c r="AI400" i="8"/>
  <c r="AH400" i="8"/>
  <c r="AG400" i="8"/>
  <c r="C402" i="8"/>
  <c r="Y402" i="8" s="1"/>
  <c r="B401" i="8"/>
  <c r="M401" i="8" s="1"/>
  <c r="AD400" i="8"/>
  <c r="AC400" i="8"/>
  <c r="AO400" i="8" l="1"/>
  <c r="A401" i="8"/>
  <c r="X401" i="8"/>
  <c r="Q400" i="8"/>
  <c r="P401" i="8" s="1"/>
  <c r="AG401" i="8"/>
  <c r="AH401" i="8"/>
  <c r="AI401" i="8"/>
  <c r="AD401" i="8"/>
  <c r="AC401" i="8"/>
  <c r="B402" i="8"/>
  <c r="M402" i="8" s="1"/>
  <c r="C403" i="8"/>
  <c r="Y403" i="8" s="1"/>
  <c r="AO401" i="8" l="1"/>
  <c r="A402" i="8"/>
  <c r="X402" i="8"/>
  <c r="Q401" i="8"/>
  <c r="P402" i="8" s="1"/>
  <c r="AG402" i="8"/>
  <c r="AH402" i="8"/>
  <c r="AI402" i="8"/>
  <c r="B403" i="8"/>
  <c r="M403" i="8" s="1"/>
  <c r="C404" i="8"/>
  <c r="Y404" i="8" s="1"/>
  <c r="AC402" i="8"/>
  <c r="AD402" i="8"/>
  <c r="AO402" i="8" l="1"/>
  <c r="A403" i="8"/>
  <c r="X403" i="8"/>
  <c r="Q402" i="8"/>
  <c r="P403" i="8" s="1"/>
  <c r="AH403" i="8"/>
  <c r="AG403" i="8"/>
  <c r="AI403" i="8"/>
  <c r="C405" i="8"/>
  <c r="Y405" i="8" s="1"/>
  <c r="B404" i="8"/>
  <c r="M404" i="8" s="1"/>
  <c r="AD403" i="8"/>
  <c r="AC403" i="8"/>
  <c r="AO403" i="8" l="1"/>
  <c r="A404" i="8"/>
  <c r="X404" i="8"/>
  <c r="Q403" i="8"/>
  <c r="P404" i="8" s="1"/>
  <c r="AI404" i="8"/>
  <c r="AG404" i="8"/>
  <c r="AH404" i="8"/>
  <c r="AC404" i="8"/>
  <c r="AD404" i="8"/>
  <c r="C406" i="8"/>
  <c r="Y406" i="8" s="1"/>
  <c r="B405" i="8"/>
  <c r="M405" i="8" s="1"/>
  <c r="AO404" i="8" l="1"/>
  <c r="A405" i="8"/>
  <c r="X405" i="8"/>
  <c r="Q404" i="8"/>
  <c r="P405" i="8" s="1"/>
  <c r="AI405" i="8"/>
  <c r="AG405" i="8"/>
  <c r="AH405" i="8"/>
  <c r="AD405" i="8"/>
  <c r="AC405" i="8"/>
  <c r="C407" i="8"/>
  <c r="Y407" i="8" s="1"/>
  <c r="B406" i="8"/>
  <c r="M406" i="8" s="1"/>
  <c r="AO405" i="8" l="1"/>
  <c r="A406" i="8"/>
  <c r="X406" i="8"/>
  <c r="AG406" i="8"/>
  <c r="AH406" i="8"/>
  <c r="AI406" i="8"/>
  <c r="Q405" i="8"/>
  <c r="P406" i="8" s="1"/>
  <c r="B407" i="8"/>
  <c r="M407" i="8" s="1"/>
  <c r="C408" i="8"/>
  <c r="Y408" i="8" s="1"/>
  <c r="AD406" i="8"/>
  <c r="AC406" i="8"/>
  <c r="AO406" i="8" l="1"/>
  <c r="A407" i="8"/>
  <c r="X407" i="8"/>
  <c r="Q406" i="8"/>
  <c r="P407" i="8" s="1"/>
  <c r="AH407" i="8"/>
  <c r="AI407" i="8"/>
  <c r="AG407" i="8"/>
  <c r="C409" i="8"/>
  <c r="Y409" i="8" s="1"/>
  <c r="B408" i="8"/>
  <c r="M408" i="8" s="1"/>
  <c r="AD407" i="8"/>
  <c r="AC407" i="8"/>
  <c r="AO407" i="8" l="1"/>
  <c r="A408" i="8"/>
  <c r="X408" i="8"/>
  <c r="Q407" i="8"/>
  <c r="P408" i="8" s="1"/>
  <c r="AI408" i="8"/>
  <c r="AH408" i="8"/>
  <c r="AG408" i="8"/>
  <c r="AD408" i="8"/>
  <c r="AC408" i="8"/>
  <c r="B409" i="8"/>
  <c r="M409" i="8" s="1"/>
  <c r="C410" i="8"/>
  <c r="Y410" i="8" s="1"/>
  <c r="AO408" i="8" l="1"/>
  <c r="A409" i="8"/>
  <c r="X409" i="8"/>
  <c r="Q408" i="8"/>
  <c r="P409" i="8" s="1"/>
  <c r="AH409" i="8"/>
  <c r="AI409" i="8"/>
  <c r="AG409" i="8"/>
  <c r="AD409" i="8"/>
  <c r="AC409" i="8"/>
  <c r="C411" i="8"/>
  <c r="Y411" i="8" s="1"/>
  <c r="B410" i="8"/>
  <c r="M410" i="8" s="1"/>
  <c r="AO409" i="8" l="1"/>
  <c r="A410" i="8"/>
  <c r="X410" i="8"/>
  <c r="Q409" i="8"/>
  <c r="P410" i="8" s="1"/>
  <c r="AG410" i="8"/>
  <c r="AH410" i="8"/>
  <c r="AI410" i="8"/>
  <c r="AC410" i="8"/>
  <c r="AD410" i="8"/>
  <c r="B411" i="8"/>
  <c r="M411" i="8" s="1"/>
  <c r="C412" i="8"/>
  <c r="Y412" i="8" s="1"/>
  <c r="AO410" i="8" l="1"/>
  <c r="A411" i="8"/>
  <c r="X411" i="8"/>
  <c r="Q410" i="8"/>
  <c r="P411" i="8" s="1"/>
  <c r="AG411" i="8"/>
  <c r="AI411" i="8"/>
  <c r="AH411" i="8"/>
  <c r="AD411" i="8"/>
  <c r="AC411" i="8"/>
  <c r="B412" i="8"/>
  <c r="M412" i="8" s="1"/>
  <c r="C413" i="8"/>
  <c r="Y413" i="8" s="1"/>
  <c r="AO411" i="8" l="1"/>
  <c r="A412" i="8"/>
  <c r="X412" i="8"/>
  <c r="Q411" i="8"/>
  <c r="P412" i="8" s="1"/>
  <c r="AH412" i="8"/>
  <c r="AI412" i="8"/>
  <c r="AG412" i="8"/>
  <c r="AC412" i="8"/>
  <c r="AD412" i="8"/>
  <c r="B413" i="8"/>
  <c r="M413" i="8" s="1"/>
  <c r="C414" i="8"/>
  <c r="Y414" i="8" s="1"/>
  <c r="AO412" i="8" l="1"/>
  <c r="A413" i="8"/>
  <c r="X413" i="8"/>
  <c r="Q412" i="8"/>
  <c r="P413" i="8" s="1"/>
  <c r="AI413" i="8"/>
  <c r="AG413" i="8"/>
  <c r="AH413" i="8"/>
  <c r="AD413" i="8"/>
  <c r="AC413" i="8"/>
  <c r="C415" i="8"/>
  <c r="Y415" i="8" s="1"/>
  <c r="B414" i="8"/>
  <c r="M414" i="8" s="1"/>
  <c r="AO413" i="8" l="1"/>
  <c r="A414" i="8"/>
  <c r="X414" i="8"/>
  <c r="Q413" i="8"/>
  <c r="P414" i="8" s="1"/>
  <c r="AH414" i="8"/>
  <c r="AG414" i="8"/>
  <c r="AI414" i="8"/>
  <c r="AD414" i="8"/>
  <c r="AC414" i="8"/>
  <c r="B415" i="8"/>
  <c r="M415" i="8" s="1"/>
  <c r="C416" i="8"/>
  <c r="Y416" i="8" s="1"/>
  <c r="AO414" i="8" l="1"/>
  <c r="A415" i="8"/>
  <c r="X415" i="8"/>
  <c r="Q414" i="8"/>
  <c r="P415" i="8" s="1"/>
  <c r="AG415" i="8"/>
  <c r="AI415" i="8"/>
  <c r="AH415" i="8"/>
  <c r="AD415" i="8"/>
  <c r="AC415" i="8"/>
  <c r="C417" i="8"/>
  <c r="Y417" i="8" s="1"/>
  <c r="B416" i="8"/>
  <c r="M416" i="8" s="1"/>
  <c r="AO415" i="8" l="1"/>
  <c r="A416" i="8"/>
  <c r="X416" i="8"/>
  <c r="Q415" i="8"/>
  <c r="P416" i="8" s="1"/>
  <c r="AH416" i="8"/>
  <c r="AI416" i="8"/>
  <c r="AG416" i="8"/>
  <c r="AD416" i="8"/>
  <c r="AC416" i="8"/>
  <c r="B417" i="8"/>
  <c r="M417" i="8" s="1"/>
  <c r="C418" i="8"/>
  <c r="Y418" i="8" s="1"/>
  <c r="AO416" i="8" l="1"/>
  <c r="A417" i="8"/>
  <c r="X417" i="8"/>
  <c r="Q416" i="8"/>
  <c r="P417" i="8" s="1"/>
  <c r="AI417" i="8"/>
  <c r="AG417" i="8"/>
  <c r="AH417" i="8"/>
  <c r="C419" i="8"/>
  <c r="Y419" i="8" s="1"/>
  <c r="B418" i="8"/>
  <c r="M418" i="8" s="1"/>
  <c r="AD417" i="8"/>
  <c r="AC417" i="8"/>
  <c r="AO417" i="8" l="1"/>
  <c r="A418" i="8"/>
  <c r="X418" i="8"/>
  <c r="Q417" i="8"/>
  <c r="P418" i="8" s="1"/>
  <c r="AH418" i="8"/>
  <c r="AG418" i="8"/>
  <c r="AI418" i="8"/>
  <c r="AC418" i="8"/>
  <c r="AD418" i="8"/>
  <c r="B419" i="8"/>
  <c r="M419" i="8" s="1"/>
  <c r="C420" i="8"/>
  <c r="Y420" i="8" s="1"/>
  <c r="AO418" i="8" l="1"/>
  <c r="A419" i="8"/>
  <c r="X419" i="8"/>
  <c r="Q418" i="8"/>
  <c r="P419" i="8" s="1"/>
  <c r="AG419" i="8"/>
  <c r="AH419" i="8"/>
  <c r="AI419" i="8"/>
  <c r="B420" i="8"/>
  <c r="M420" i="8" s="1"/>
  <c r="C421" i="8"/>
  <c r="Y421" i="8" s="1"/>
  <c r="AD419" i="8"/>
  <c r="AC419" i="8"/>
  <c r="AO419" i="8" l="1"/>
  <c r="A420" i="8"/>
  <c r="X420" i="8"/>
  <c r="Q419" i="8"/>
  <c r="P420" i="8" s="1"/>
  <c r="AH420" i="8"/>
  <c r="AG420" i="8"/>
  <c r="AI420" i="8"/>
  <c r="C422" i="8"/>
  <c r="Y422" i="8" s="1"/>
  <c r="B421" i="8"/>
  <c r="M421" i="8" s="1"/>
  <c r="AC420" i="8"/>
  <c r="AD420" i="8"/>
  <c r="AO420" i="8" l="1"/>
  <c r="A421" i="8"/>
  <c r="X421" i="8"/>
  <c r="Q420" i="8"/>
  <c r="P421" i="8" s="1"/>
  <c r="AI421" i="8"/>
  <c r="AG421" i="8"/>
  <c r="AH421" i="8"/>
  <c r="AD421" i="8"/>
  <c r="AC421" i="8"/>
  <c r="C423" i="8"/>
  <c r="Y423" i="8" s="1"/>
  <c r="B422" i="8"/>
  <c r="M422" i="8" s="1"/>
  <c r="AO421" i="8" l="1"/>
  <c r="A422" i="8"/>
  <c r="X422" i="8"/>
  <c r="AG422" i="8"/>
  <c r="AH422" i="8"/>
  <c r="AI422" i="8"/>
  <c r="Q421" i="8"/>
  <c r="P422" i="8" s="1"/>
  <c r="AD422" i="8"/>
  <c r="AC422" i="8"/>
  <c r="B423" i="8"/>
  <c r="M423" i="8" s="1"/>
  <c r="C424" i="8"/>
  <c r="Y424" i="8" s="1"/>
  <c r="AO422" i="8" l="1"/>
  <c r="A423" i="8"/>
  <c r="X423" i="8"/>
  <c r="Q422" i="8"/>
  <c r="P423" i="8" s="1"/>
  <c r="AG423" i="8"/>
  <c r="AI423" i="8"/>
  <c r="AH423" i="8"/>
  <c r="C425" i="8"/>
  <c r="Y425" i="8" s="1"/>
  <c r="B424" i="8"/>
  <c r="M424" i="8" s="1"/>
  <c r="AD423" i="8"/>
  <c r="AC423" i="8"/>
  <c r="AO423" i="8" l="1"/>
  <c r="A424" i="8"/>
  <c r="X424" i="8"/>
  <c r="Q423" i="8"/>
  <c r="P424" i="8" s="1"/>
  <c r="AH424" i="8"/>
  <c r="AG424" i="8"/>
  <c r="AI424" i="8"/>
  <c r="AD424" i="8"/>
  <c r="AC424" i="8"/>
  <c r="B425" i="8"/>
  <c r="M425" i="8" s="1"/>
  <c r="C426" i="8"/>
  <c r="Y426" i="8" s="1"/>
  <c r="AO424" i="8" l="1"/>
  <c r="A425" i="8"/>
  <c r="X425" i="8"/>
  <c r="Q424" i="8"/>
  <c r="P425" i="8" s="1"/>
  <c r="AI425" i="8"/>
  <c r="AG425" i="8"/>
  <c r="AH425" i="8"/>
  <c r="C427" i="8"/>
  <c r="Y427" i="8" s="1"/>
  <c r="B426" i="8"/>
  <c r="M426" i="8" s="1"/>
  <c r="AD425" i="8"/>
  <c r="AC425" i="8"/>
  <c r="AO425" i="8" l="1"/>
  <c r="A426" i="8"/>
  <c r="X426" i="8"/>
  <c r="Q425" i="8"/>
  <c r="P426" i="8" s="1"/>
  <c r="AG426" i="8"/>
  <c r="AH426" i="8"/>
  <c r="AI426" i="8"/>
  <c r="AC426" i="8"/>
  <c r="AD426" i="8"/>
  <c r="B427" i="8"/>
  <c r="M427" i="8" s="1"/>
  <c r="C428" i="8"/>
  <c r="Y428" i="8" s="1"/>
  <c r="AO426" i="8" l="1"/>
  <c r="A427" i="8"/>
  <c r="X427" i="8"/>
  <c r="Q426" i="8"/>
  <c r="P427" i="8" s="1"/>
  <c r="AG427" i="8"/>
  <c r="AI427" i="8"/>
  <c r="AH427" i="8"/>
  <c r="B428" i="8"/>
  <c r="M428" i="8" s="1"/>
  <c r="C429" i="8"/>
  <c r="Y429" i="8" s="1"/>
  <c r="AD427" i="8"/>
  <c r="AC427" i="8"/>
  <c r="AO427" i="8" l="1"/>
  <c r="A428" i="8"/>
  <c r="X428" i="8"/>
  <c r="Q427" i="8"/>
  <c r="P428" i="8" s="1"/>
  <c r="AH428" i="8"/>
  <c r="AI428" i="8"/>
  <c r="AG428" i="8"/>
  <c r="B429" i="8"/>
  <c r="M429" i="8" s="1"/>
  <c r="C430" i="8"/>
  <c r="Y430" i="8" s="1"/>
  <c r="AC428" i="8"/>
  <c r="AD428" i="8"/>
  <c r="AO428" i="8" l="1"/>
  <c r="A429" i="8"/>
  <c r="X429" i="8"/>
  <c r="Q428" i="8"/>
  <c r="P429" i="8" s="1"/>
  <c r="AI429" i="8"/>
  <c r="AG429" i="8"/>
  <c r="AH429" i="8"/>
  <c r="C431" i="8"/>
  <c r="Y431" i="8" s="1"/>
  <c r="B430" i="8"/>
  <c r="M430" i="8" s="1"/>
  <c r="AD429" i="8"/>
  <c r="AC429" i="8"/>
  <c r="AO429" i="8" l="1"/>
  <c r="A430" i="8"/>
  <c r="X430" i="8"/>
  <c r="Q429" i="8"/>
  <c r="P430" i="8" s="1"/>
  <c r="AG430" i="8"/>
  <c r="AH430" i="8"/>
  <c r="AI430" i="8"/>
  <c r="AD430" i="8"/>
  <c r="AC430" i="8"/>
  <c r="B431" i="8"/>
  <c r="M431" i="8" s="1"/>
  <c r="C432" i="8"/>
  <c r="Y432" i="8" s="1"/>
  <c r="AO430" i="8" l="1"/>
  <c r="A431" i="8"/>
  <c r="X431" i="8"/>
  <c r="Q430" i="8"/>
  <c r="P431" i="8" s="1"/>
  <c r="AG431" i="8"/>
  <c r="AI431" i="8"/>
  <c r="AH431" i="8"/>
  <c r="C433" i="8"/>
  <c r="Y433" i="8" s="1"/>
  <c r="B432" i="8"/>
  <c r="M432" i="8" s="1"/>
  <c r="AD431" i="8"/>
  <c r="AC431" i="8"/>
  <c r="AO431" i="8" l="1"/>
  <c r="A432" i="8"/>
  <c r="X432" i="8"/>
  <c r="Q431" i="8"/>
  <c r="P432" i="8" s="1"/>
  <c r="AH432" i="8"/>
  <c r="AI432" i="8"/>
  <c r="AG432" i="8"/>
  <c r="AD432" i="8"/>
  <c r="AC432" i="8"/>
  <c r="B433" i="8"/>
  <c r="M433" i="8" s="1"/>
  <c r="C434" i="8"/>
  <c r="Y434" i="8" s="1"/>
  <c r="AO432" i="8" l="1"/>
  <c r="A433" i="8"/>
  <c r="X433" i="8"/>
  <c r="Q432" i="8"/>
  <c r="P433" i="8" s="1"/>
  <c r="AI433" i="8"/>
  <c r="AG433" i="8"/>
  <c r="AH433" i="8"/>
  <c r="C435" i="8"/>
  <c r="Y435" i="8" s="1"/>
  <c r="B434" i="8"/>
  <c r="M434" i="8" s="1"/>
  <c r="AD433" i="8"/>
  <c r="AC433" i="8"/>
  <c r="AO433" i="8" l="1"/>
  <c r="A434" i="8"/>
  <c r="X434" i="8"/>
  <c r="Q433" i="8"/>
  <c r="P434" i="8" s="1"/>
  <c r="AH434" i="8"/>
  <c r="AG434" i="8"/>
  <c r="AI434" i="8"/>
  <c r="AC434" i="8"/>
  <c r="AD434" i="8"/>
  <c r="B435" i="8"/>
  <c r="M435" i="8" s="1"/>
  <c r="C436" i="8"/>
  <c r="Y436" i="8" s="1"/>
  <c r="AO434" i="8" l="1"/>
  <c r="A435" i="8"/>
  <c r="X435" i="8"/>
  <c r="Q434" i="8"/>
  <c r="P435" i="8" s="1"/>
  <c r="AG435" i="8"/>
  <c r="AI435" i="8"/>
  <c r="AH435" i="8"/>
  <c r="B436" i="8"/>
  <c r="M436" i="8" s="1"/>
  <c r="C437" i="8"/>
  <c r="Y437" i="8" s="1"/>
  <c r="AD435" i="8"/>
  <c r="AC435" i="8"/>
  <c r="AO435" i="8" l="1"/>
  <c r="A436" i="8"/>
  <c r="X436" i="8"/>
  <c r="Q435" i="8"/>
  <c r="P436" i="8" s="1"/>
  <c r="AH436" i="8"/>
  <c r="AI436" i="8"/>
  <c r="AG436" i="8"/>
  <c r="C438" i="8"/>
  <c r="Y438" i="8" s="1"/>
  <c r="B437" i="8"/>
  <c r="M437" i="8" s="1"/>
  <c r="AC436" i="8"/>
  <c r="AD436" i="8"/>
  <c r="AO436" i="8" l="1"/>
  <c r="A437" i="8"/>
  <c r="X437" i="8"/>
  <c r="Q436" i="8"/>
  <c r="P437" i="8" s="1"/>
  <c r="AI437" i="8"/>
  <c r="AG437" i="8"/>
  <c r="AH437" i="8"/>
  <c r="AD437" i="8"/>
  <c r="AC437" i="8"/>
  <c r="C439" i="8"/>
  <c r="Y439" i="8" s="1"/>
  <c r="B438" i="8"/>
  <c r="M438" i="8" s="1"/>
  <c r="AO437" i="8" l="1"/>
  <c r="A438" i="8"/>
  <c r="X438" i="8"/>
  <c r="Q437" i="8"/>
  <c r="P438" i="8" s="1"/>
  <c r="AH438" i="8"/>
  <c r="AG438" i="8"/>
  <c r="AI438" i="8"/>
  <c r="AD438" i="8"/>
  <c r="AC438" i="8"/>
  <c r="B439" i="8"/>
  <c r="M439" i="8" s="1"/>
  <c r="C440" i="8"/>
  <c r="Y440" i="8" s="1"/>
  <c r="AO438" i="8" l="1"/>
  <c r="A439" i="8"/>
  <c r="X439" i="8"/>
  <c r="Q438" i="8"/>
  <c r="P439" i="8" s="1"/>
  <c r="AG439" i="8"/>
  <c r="AH439" i="8"/>
  <c r="AI439" i="8"/>
  <c r="B440" i="8"/>
  <c r="M440" i="8" s="1"/>
  <c r="C441" i="8"/>
  <c r="Y441" i="8" s="1"/>
  <c r="AD439" i="8"/>
  <c r="AC439" i="8"/>
  <c r="AO439" i="8" l="1"/>
  <c r="A440" i="8"/>
  <c r="X440" i="8"/>
  <c r="Q439" i="8"/>
  <c r="P440" i="8" s="1"/>
  <c r="AH440" i="8"/>
  <c r="AG440" i="8"/>
  <c r="AI440" i="8"/>
  <c r="B441" i="8"/>
  <c r="M441" i="8" s="1"/>
  <c r="C442" i="8"/>
  <c r="Y442" i="8" s="1"/>
  <c r="AD440" i="8"/>
  <c r="AC440" i="8"/>
  <c r="AO440" i="8" l="1"/>
  <c r="A441" i="8"/>
  <c r="X441" i="8"/>
  <c r="Q440" i="8"/>
  <c r="P441" i="8" s="1"/>
  <c r="AI441" i="8"/>
  <c r="AG441" i="8"/>
  <c r="AH441" i="8"/>
  <c r="B442" i="8"/>
  <c r="M442" i="8" s="1"/>
  <c r="C443" i="8"/>
  <c r="Y443" i="8" s="1"/>
  <c r="AD441" i="8"/>
  <c r="AC441" i="8"/>
  <c r="AO441" i="8" l="1"/>
  <c r="A442" i="8"/>
  <c r="X442" i="8"/>
  <c r="Q441" i="8"/>
  <c r="P442" i="8" s="1"/>
  <c r="AG442" i="8"/>
  <c r="AH442" i="8"/>
  <c r="AI442" i="8"/>
  <c r="B443" i="8"/>
  <c r="M443" i="8" s="1"/>
  <c r="C444" i="8"/>
  <c r="Y444" i="8" s="1"/>
  <c r="AC442" i="8"/>
  <c r="AD442" i="8"/>
  <c r="AO442" i="8" l="1"/>
  <c r="A443" i="8"/>
  <c r="X443" i="8"/>
  <c r="Q442" i="8"/>
  <c r="P443" i="8" s="1"/>
  <c r="AG443" i="8"/>
  <c r="AI443" i="8"/>
  <c r="AH443" i="8"/>
  <c r="C445" i="8"/>
  <c r="Y445" i="8" s="1"/>
  <c r="B444" i="8"/>
  <c r="M444" i="8" s="1"/>
  <c r="AD443" i="8"/>
  <c r="AC443" i="8"/>
  <c r="AO443" i="8" l="1"/>
  <c r="A444" i="8"/>
  <c r="X444" i="8"/>
  <c r="Q443" i="8"/>
  <c r="P444" i="8" s="1"/>
  <c r="AH444" i="8"/>
  <c r="AG444" i="8"/>
  <c r="AI444" i="8"/>
  <c r="AC444" i="8"/>
  <c r="AD444" i="8"/>
  <c r="B445" i="8"/>
  <c r="M445" i="8" s="1"/>
  <c r="C446" i="8"/>
  <c r="Y446" i="8" s="1"/>
  <c r="AO444" i="8" l="1"/>
  <c r="A445" i="8"/>
  <c r="X445" i="8"/>
  <c r="Q444" i="8"/>
  <c r="P445" i="8" s="1"/>
  <c r="AI445" i="8"/>
  <c r="AG445" i="8"/>
  <c r="AH445" i="8"/>
  <c r="C447" i="8"/>
  <c r="Y447" i="8" s="1"/>
  <c r="B446" i="8"/>
  <c r="M446" i="8" s="1"/>
  <c r="AD445" i="8"/>
  <c r="AC445" i="8"/>
  <c r="AO445" i="8" l="1"/>
  <c r="A446" i="8"/>
  <c r="X446" i="8"/>
  <c r="Q445" i="8"/>
  <c r="P446" i="8" s="1"/>
  <c r="AG446" i="8"/>
  <c r="AH446" i="8"/>
  <c r="AI446" i="8"/>
  <c r="AD446" i="8"/>
  <c r="AC446" i="8"/>
  <c r="B447" i="8"/>
  <c r="M447" i="8" s="1"/>
  <c r="C448" i="8"/>
  <c r="Y448" i="8" s="1"/>
  <c r="AO446" i="8" l="1"/>
  <c r="A447" i="8"/>
  <c r="X447" i="8"/>
  <c r="Q446" i="8"/>
  <c r="P447" i="8" s="1"/>
  <c r="AG447" i="8"/>
  <c r="AI447" i="8"/>
  <c r="AH447" i="8"/>
  <c r="C449" i="8"/>
  <c r="Y449" i="8" s="1"/>
  <c r="B448" i="8"/>
  <c r="M448" i="8" s="1"/>
  <c r="AD447" i="8"/>
  <c r="AC447" i="8"/>
  <c r="AO447" i="8" l="1"/>
  <c r="A448" i="8"/>
  <c r="X448" i="8"/>
  <c r="Q447" i="8"/>
  <c r="P448" i="8" s="1"/>
  <c r="AH448" i="8"/>
  <c r="AI448" i="8"/>
  <c r="AG448" i="8"/>
  <c r="AD448" i="8"/>
  <c r="AC448" i="8"/>
  <c r="C450" i="8"/>
  <c r="Y450" i="8" s="1"/>
  <c r="B449" i="8"/>
  <c r="M449" i="8" s="1"/>
  <c r="AO448" i="8" l="1"/>
  <c r="A449" i="8"/>
  <c r="X449" i="8"/>
  <c r="Q448" i="8"/>
  <c r="P449" i="8" s="1"/>
  <c r="AI449" i="8"/>
  <c r="AG449" i="8"/>
  <c r="AH449" i="8"/>
  <c r="C451" i="8"/>
  <c r="Y451" i="8" s="1"/>
  <c r="B450" i="8"/>
  <c r="M450" i="8" s="1"/>
  <c r="AD449" i="8"/>
  <c r="AC449" i="8"/>
  <c r="AO449" i="8" l="1"/>
  <c r="A450" i="8"/>
  <c r="X450" i="8"/>
  <c r="Q449" i="8"/>
  <c r="P450" i="8" s="1"/>
  <c r="AG450" i="8"/>
  <c r="AH450" i="8"/>
  <c r="AI450" i="8"/>
  <c r="AC450" i="8"/>
  <c r="AD450" i="8"/>
  <c r="B451" i="8"/>
  <c r="M451" i="8" s="1"/>
  <c r="C452" i="8"/>
  <c r="Y452" i="8" s="1"/>
  <c r="AO450" i="8" l="1"/>
  <c r="A451" i="8"/>
  <c r="X451" i="8"/>
  <c r="Q450" i="8"/>
  <c r="P451" i="8" s="1"/>
  <c r="AG451" i="8"/>
  <c r="AI451" i="8"/>
  <c r="AH451" i="8"/>
  <c r="B452" i="8"/>
  <c r="M452" i="8" s="1"/>
  <c r="C453" i="8"/>
  <c r="Y453" i="8" s="1"/>
  <c r="AD451" i="8"/>
  <c r="AC451" i="8"/>
  <c r="AO451" i="8" l="1"/>
  <c r="A452" i="8"/>
  <c r="X452" i="8"/>
  <c r="Q451" i="8"/>
  <c r="P452" i="8" s="1"/>
  <c r="AH452" i="8"/>
  <c r="AI452" i="8"/>
  <c r="AG452" i="8"/>
  <c r="C454" i="8"/>
  <c r="Y454" i="8" s="1"/>
  <c r="B453" i="8"/>
  <c r="M453" i="8" s="1"/>
  <c r="AC452" i="8"/>
  <c r="AD452" i="8"/>
  <c r="AO452" i="8" l="1"/>
  <c r="A453" i="8"/>
  <c r="X453" i="8"/>
  <c r="Q452" i="8"/>
  <c r="P453" i="8" s="1"/>
  <c r="AI453" i="8"/>
  <c r="AG453" i="8"/>
  <c r="AH453" i="8"/>
  <c r="AD453" i="8"/>
  <c r="AC453" i="8"/>
  <c r="C455" i="8"/>
  <c r="Y455" i="8" s="1"/>
  <c r="B454" i="8"/>
  <c r="M454" i="8" s="1"/>
  <c r="AO453" i="8" l="1"/>
  <c r="A454" i="8"/>
  <c r="X454" i="8"/>
  <c r="Q453" i="8"/>
  <c r="P454" i="8" s="1"/>
  <c r="AH454" i="8"/>
  <c r="AG454" i="8"/>
  <c r="AI454" i="8"/>
  <c r="AD454" i="8"/>
  <c r="AC454" i="8"/>
  <c r="B455" i="8"/>
  <c r="M455" i="8" s="1"/>
  <c r="C456" i="8"/>
  <c r="Y456" i="8" s="1"/>
  <c r="AO454" i="8" l="1"/>
  <c r="A455" i="8"/>
  <c r="X455" i="8"/>
  <c r="Q454" i="8"/>
  <c r="P455" i="8" s="1"/>
  <c r="AG455" i="8"/>
  <c r="AI455" i="8"/>
  <c r="AH455" i="8"/>
  <c r="C457" i="8"/>
  <c r="Y457" i="8" s="1"/>
  <c r="B456" i="8"/>
  <c r="M456" i="8" s="1"/>
  <c r="AD455" i="8"/>
  <c r="AC455" i="8"/>
  <c r="AO455" i="8" l="1"/>
  <c r="A456" i="8"/>
  <c r="X456" i="8"/>
  <c r="Q455" i="8"/>
  <c r="P456" i="8" s="1"/>
  <c r="AH456" i="8"/>
  <c r="AI456" i="8"/>
  <c r="AG456" i="8"/>
  <c r="AD456" i="8"/>
  <c r="AC456" i="8"/>
  <c r="B457" i="8"/>
  <c r="M457" i="8" s="1"/>
  <c r="C458" i="8"/>
  <c r="Y458" i="8" s="1"/>
  <c r="AO456" i="8" l="1"/>
  <c r="A457" i="8"/>
  <c r="X457" i="8"/>
  <c r="Q456" i="8"/>
  <c r="P457" i="8" s="1"/>
  <c r="AI457" i="8"/>
  <c r="AG457" i="8"/>
  <c r="AH457" i="8"/>
  <c r="C459" i="8"/>
  <c r="Y459" i="8" s="1"/>
  <c r="B458" i="8"/>
  <c r="M458" i="8" s="1"/>
  <c r="AD457" i="8"/>
  <c r="AC457" i="8"/>
  <c r="AO457" i="8" l="1"/>
  <c r="A458" i="8"/>
  <c r="X458" i="8"/>
  <c r="Q457" i="8"/>
  <c r="P458" i="8" s="1"/>
  <c r="AH458" i="8"/>
  <c r="AI458" i="8"/>
  <c r="AG458" i="8"/>
  <c r="AC458" i="8"/>
  <c r="AD458" i="8"/>
  <c r="B459" i="8"/>
  <c r="M459" i="8" s="1"/>
  <c r="C460" i="8"/>
  <c r="Y460" i="8" s="1"/>
  <c r="AO458" i="8" l="1"/>
  <c r="A459" i="8"/>
  <c r="X459" i="8"/>
  <c r="Q458" i="8"/>
  <c r="P459" i="8" s="1"/>
  <c r="AG459" i="8"/>
  <c r="AH459" i="8"/>
  <c r="AI459" i="8"/>
  <c r="C461" i="8"/>
  <c r="Y461" i="8" s="1"/>
  <c r="B460" i="8"/>
  <c r="M460" i="8" s="1"/>
  <c r="AD459" i="8"/>
  <c r="AC459" i="8"/>
  <c r="AO459" i="8" l="1"/>
  <c r="A460" i="8"/>
  <c r="X460" i="8"/>
  <c r="Q459" i="8"/>
  <c r="P460" i="8" s="1"/>
  <c r="AH460" i="8"/>
  <c r="AI460" i="8"/>
  <c r="AG460" i="8"/>
  <c r="AC460" i="8"/>
  <c r="AD460" i="8"/>
  <c r="B461" i="8"/>
  <c r="M461" i="8" s="1"/>
  <c r="C462" i="8"/>
  <c r="Y462" i="8" s="1"/>
  <c r="AO460" i="8" l="1"/>
  <c r="A461" i="8"/>
  <c r="X461" i="8"/>
  <c r="Q460" i="8"/>
  <c r="P461" i="8" s="1"/>
  <c r="AI461" i="8"/>
  <c r="AG461" i="8"/>
  <c r="AH461" i="8"/>
  <c r="C463" i="8"/>
  <c r="Y463" i="8" s="1"/>
  <c r="B462" i="8"/>
  <c r="M462" i="8" s="1"/>
  <c r="AD461" i="8"/>
  <c r="AC461" i="8"/>
  <c r="AO461" i="8" l="1"/>
  <c r="A462" i="8"/>
  <c r="X462" i="8"/>
  <c r="Q461" i="8"/>
  <c r="P462" i="8" s="1"/>
  <c r="AH462" i="8"/>
  <c r="AI462" i="8"/>
  <c r="AG462" i="8"/>
  <c r="AD462" i="8"/>
  <c r="AC462" i="8"/>
  <c r="B463" i="8"/>
  <c r="M463" i="8" s="1"/>
  <c r="C464" i="8"/>
  <c r="Y464" i="8" s="1"/>
  <c r="AO462" i="8" l="1"/>
  <c r="A463" i="8"/>
  <c r="X463" i="8"/>
  <c r="Q462" i="8"/>
  <c r="P463" i="8" s="1"/>
  <c r="AG463" i="8"/>
  <c r="AH463" i="8"/>
  <c r="AI463" i="8"/>
  <c r="C465" i="8"/>
  <c r="Y465" i="8" s="1"/>
  <c r="B464" i="8"/>
  <c r="M464" i="8" s="1"/>
  <c r="AD463" i="8"/>
  <c r="AC463" i="8"/>
  <c r="AO463" i="8" l="1"/>
  <c r="A464" i="8"/>
  <c r="X464" i="8"/>
  <c r="Q463" i="8"/>
  <c r="P464" i="8" s="1"/>
  <c r="AH464" i="8"/>
  <c r="AI464" i="8"/>
  <c r="AG464" i="8"/>
  <c r="AD464" i="8"/>
  <c r="AC464" i="8"/>
  <c r="B465" i="8"/>
  <c r="M465" i="8" s="1"/>
  <c r="C466" i="8"/>
  <c r="Y466" i="8" s="1"/>
  <c r="AO464" i="8" l="1"/>
  <c r="A465" i="8"/>
  <c r="X465" i="8"/>
  <c r="Q464" i="8"/>
  <c r="P465" i="8" s="1"/>
  <c r="AI465" i="8"/>
  <c r="AG465" i="8"/>
  <c r="AH465" i="8"/>
  <c r="C467" i="8"/>
  <c r="Y467" i="8" s="1"/>
  <c r="B466" i="8"/>
  <c r="M466" i="8" s="1"/>
  <c r="AD465" i="8"/>
  <c r="AC465" i="8"/>
  <c r="AO465" i="8" l="1"/>
  <c r="A466" i="8"/>
  <c r="X466" i="8"/>
  <c r="Q465" i="8"/>
  <c r="P466" i="8" s="1"/>
  <c r="AH466" i="8"/>
  <c r="AI466" i="8"/>
  <c r="AG466" i="8"/>
  <c r="AC466" i="8"/>
  <c r="AD466" i="8"/>
  <c r="C468" i="8"/>
  <c r="Y468" i="8" s="1"/>
  <c r="B467" i="8"/>
  <c r="M467" i="8" s="1"/>
  <c r="AO466" i="8" l="1"/>
  <c r="A467" i="8"/>
  <c r="X467" i="8"/>
  <c r="Q466" i="8"/>
  <c r="P467" i="8" s="1"/>
  <c r="AG467" i="8"/>
  <c r="AH467" i="8"/>
  <c r="AI467" i="8"/>
  <c r="AD467" i="8"/>
  <c r="AC467" i="8"/>
  <c r="C469" i="8"/>
  <c r="Y469" i="8" s="1"/>
  <c r="B468" i="8"/>
  <c r="M468" i="8" s="1"/>
  <c r="AO467" i="8" l="1"/>
  <c r="A468" i="8"/>
  <c r="X468" i="8"/>
  <c r="Q467" i="8"/>
  <c r="P468" i="8" s="1"/>
  <c r="AH468" i="8"/>
  <c r="AG468" i="8"/>
  <c r="AI468" i="8"/>
  <c r="B469" i="8"/>
  <c r="M469" i="8" s="1"/>
  <c r="C470" i="8"/>
  <c r="Y470" i="8" s="1"/>
  <c r="AC468" i="8"/>
  <c r="AD468" i="8"/>
  <c r="AO468" i="8" l="1"/>
  <c r="A469" i="8"/>
  <c r="X469" i="8"/>
  <c r="Q468" i="8"/>
  <c r="P469" i="8" s="1"/>
  <c r="AI469" i="8"/>
  <c r="AG469" i="8"/>
  <c r="AH469" i="8"/>
  <c r="C471" i="8"/>
  <c r="Y471" i="8" s="1"/>
  <c r="B470" i="8"/>
  <c r="M470" i="8" s="1"/>
  <c r="AD469" i="8"/>
  <c r="AC469" i="8"/>
  <c r="AO469" i="8" l="1"/>
  <c r="A470" i="8"/>
  <c r="X470" i="8"/>
  <c r="Q469" i="8"/>
  <c r="P470" i="8" s="1"/>
  <c r="AH470" i="8"/>
  <c r="AG470" i="8"/>
  <c r="AI470" i="8"/>
  <c r="AD470" i="8"/>
  <c r="AC470" i="8"/>
  <c r="C472" i="8"/>
  <c r="Y472" i="8" s="1"/>
  <c r="B471" i="8"/>
  <c r="M471" i="8" s="1"/>
  <c r="AO470" i="8" l="1"/>
  <c r="A471" i="8"/>
  <c r="X471" i="8"/>
  <c r="Q470" i="8"/>
  <c r="P471" i="8" s="1"/>
  <c r="AG471" i="8"/>
  <c r="AH471" i="8"/>
  <c r="AI471" i="8"/>
  <c r="AD471" i="8"/>
  <c r="AC471" i="8"/>
  <c r="C473" i="8"/>
  <c r="Y473" i="8" s="1"/>
  <c r="B472" i="8"/>
  <c r="M472" i="8" s="1"/>
  <c r="AO471" i="8" l="1"/>
  <c r="A472" i="8"/>
  <c r="X472" i="8"/>
  <c r="AH472" i="8"/>
  <c r="AG472" i="8"/>
  <c r="AI472" i="8"/>
  <c r="Q471" i="8"/>
  <c r="P472" i="8" s="1"/>
  <c r="AD472" i="8"/>
  <c r="AC472" i="8"/>
  <c r="B473" i="8"/>
  <c r="M473" i="8" s="1"/>
  <c r="C474" i="8"/>
  <c r="Y474" i="8" s="1"/>
  <c r="AO472" i="8" l="1"/>
  <c r="A473" i="8"/>
  <c r="X473" i="8"/>
  <c r="Q472" i="8"/>
  <c r="P473" i="8" s="1"/>
  <c r="AI473" i="8"/>
  <c r="AG473" i="8"/>
  <c r="AH473" i="8"/>
  <c r="C475" i="8"/>
  <c r="Y475" i="8" s="1"/>
  <c r="B474" i="8"/>
  <c r="M474" i="8" s="1"/>
  <c r="AD473" i="8"/>
  <c r="AC473" i="8"/>
  <c r="AO473" i="8" l="1"/>
  <c r="A474" i="8"/>
  <c r="X474" i="8"/>
  <c r="Q473" i="8"/>
  <c r="P474" i="8" s="1"/>
  <c r="AG474" i="8"/>
  <c r="AH474" i="8"/>
  <c r="AI474" i="8"/>
  <c r="AC474" i="8"/>
  <c r="AD474" i="8"/>
  <c r="B475" i="8"/>
  <c r="M475" i="8" s="1"/>
  <c r="C476" i="8"/>
  <c r="Y476" i="8" s="1"/>
  <c r="AO474" i="8" l="1"/>
  <c r="A475" i="8"/>
  <c r="X475" i="8"/>
  <c r="Q474" i="8"/>
  <c r="P475" i="8" s="1"/>
  <c r="AG475" i="8"/>
  <c r="AI475" i="8"/>
  <c r="AH475" i="8"/>
  <c r="C477" i="8"/>
  <c r="Y477" i="8" s="1"/>
  <c r="B476" i="8"/>
  <c r="M476" i="8" s="1"/>
  <c r="AD475" i="8"/>
  <c r="AC475" i="8"/>
  <c r="AO475" i="8" l="1"/>
  <c r="A476" i="8"/>
  <c r="X476" i="8"/>
  <c r="Q475" i="8"/>
  <c r="P476" i="8" s="1"/>
  <c r="AH476" i="8"/>
  <c r="AG476" i="8"/>
  <c r="AI476" i="8"/>
  <c r="AC476" i="8"/>
  <c r="AD476" i="8"/>
  <c r="B477" i="8"/>
  <c r="M477" i="8" s="1"/>
  <c r="C478" i="8"/>
  <c r="Y478" i="8" s="1"/>
  <c r="AO476" i="8" l="1"/>
  <c r="A477" i="8"/>
  <c r="X477" i="8"/>
  <c r="Q476" i="8"/>
  <c r="P477" i="8" s="1"/>
  <c r="AI477" i="8"/>
  <c r="AG477" i="8"/>
  <c r="AH477" i="8"/>
  <c r="C479" i="8"/>
  <c r="Y479" i="8" s="1"/>
  <c r="B478" i="8"/>
  <c r="M478" i="8" s="1"/>
  <c r="AD477" i="8"/>
  <c r="AC477" i="8"/>
  <c r="AO477" i="8" l="1"/>
  <c r="A478" i="8"/>
  <c r="X478" i="8"/>
  <c r="Q477" i="8"/>
  <c r="P478" i="8" s="1"/>
  <c r="AG478" i="8"/>
  <c r="AH478" i="8"/>
  <c r="AI478" i="8"/>
  <c r="AD478" i="8"/>
  <c r="AC478" i="8"/>
  <c r="B479" i="8"/>
  <c r="M479" i="8" s="1"/>
  <c r="C480" i="8"/>
  <c r="Y480" i="8" s="1"/>
  <c r="AO478" i="8" l="1"/>
  <c r="A479" i="8"/>
  <c r="X479" i="8"/>
  <c r="Q478" i="8"/>
  <c r="P479" i="8" s="1"/>
  <c r="AG479" i="8"/>
  <c r="AH479" i="8"/>
  <c r="AI479" i="8"/>
  <c r="AD479" i="8"/>
  <c r="AC479" i="8"/>
  <c r="C481" i="8"/>
  <c r="Y481" i="8" s="1"/>
  <c r="B480" i="8"/>
  <c r="M480" i="8" s="1"/>
  <c r="AO479" i="8" l="1"/>
  <c r="A480" i="8"/>
  <c r="X480" i="8"/>
  <c r="Q479" i="8"/>
  <c r="P480" i="8" s="1"/>
  <c r="AH480" i="8"/>
  <c r="AG480" i="8"/>
  <c r="AI480" i="8"/>
  <c r="AD480" i="8"/>
  <c r="AC480" i="8"/>
  <c r="B481" i="8"/>
  <c r="M481" i="8" s="1"/>
  <c r="C482" i="8"/>
  <c r="Y482" i="8" s="1"/>
  <c r="AO480" i="8" l="1"/>
  <c r="A481" i="8"/>
  <c r="X481" i="8"/>
  <c r="Q480" i="8"/>
  <c r="P481" i="8" s="1"/>
  <c r="AI481" i="8"/>
  <c r="AG481" i="8"/>
  <c r="AH481" i="8"/>
  <c r="B482" i="8"/>
  <c r="M482" i="8" s="1"/>
  <c r="C483" i="8"/>
  <c r="Y483" i="8" s="1"/>
  <c r="AD481" i="8"/>
  <c r="AC481" i="8"/>
  <c r="AO481" i="8" l="1"/>
  <c r="A482" i="8"/>
  <c r="X482" i="8"/>
  <c r="Q481" i="8"/>
  <c r="P482" i="8" s="1"/>
  <c r="AH482" i="8"/>
  <c r="AG482" i="8"/>
  <c r="AI482" i="8"/>
  <c r="B483" i="8"/>
  <c r="M483" i="8" s="1"/>
  <c r="C484" i="8"/>
  <c r="Y484" i="8" s="1"/>
  <c r="AC482" i="8"/>
  <c r="AD482" i="8"/>
  <c r="AO482" i="8" l="1"/>
  <c r="A483" i="8"/>
  <c r="X483" i="8"/>
  <c r="Q482" i="8"/>
  <c r="P483" i="8" s="1"/>
  <c r="AG483" i="8"/>
  <c r="AH483" i="8"/>
  <c r="AI483" i="8"/>
  <c r="C485" i="8"/>
  <c r="Y485" i="8" s="1"/>
  <c r="B484" i="8"/>
  <c r="M484" i="8" s="1"/>
  <c r="AD483" i="8"/>
  <c r="AC483" i="8"/>
  <c r="AO483" i="8" l="1"/>
  <c r="A484" i="8"/>
  <c r="X484" i="8"/>
  <c r="Q483" i="8"/>
  <c r="P484" i="8" s="1"/>
  <c r="AH484" i="8"/>
  <c r="AG484" i="8"/>
  <c r="AI484" i="8"/>
  <c r="AC484" i="8"/>
  <c r="AD484" i="8"/>
  <c r="C486" i="8"/>
  <c r="Y486" i="8" s="1"/>
  <c r="B485" i="8"/>
  <c r="M485" i="8" s="1"/>
  <c r="AO484" i="8" l="1"/>
  <c r="A485" i="8"/>
  <c r="X485" i="8"/>
  <c r="AI485" i="8"/>
  <c r="AG485" i="8"/>
  <c r="AH485" i="8"/>
  <c r="Q484" i="8"/>
  <c r="P485" i="8" s="1"/>
  <c r="C487" i="8"/>
  <c r="Y487" i="8" s="1"/>
  <c r="B486" i="8"/>
  <c r="M486" i="8" s="1"/>
  <c r="AD485" i="8"/>
  <c r="AC485" i="8"/>
  <c r="AO485" i="8" l="1"/>
  <c r="A486" i="8"/>
  <c r="X486" i="8"/>
  <c r="Q485" i="8"/>
  <c r="P486" i="8" s="1"/>
  <c r="AG486" i="8"/>
  <c r="AH486" i="8"/>
  <c r="AI486" i="8"/>
  <c r="AD486" i="8"/>
  <c r="AC486" i="8"/>
  <c r="B487" i="8"/>
  <c r="M487" i="8" s="1"/>
  <c r="C488" i="8"/>
  <c r="Y488" i="8" s="1"/>
  <c r="AO486" i="8" l="1"/>
  <c r="A487" i="8"/>
  <c r="X487" i="8"/>
  <c r="AG487" i="8"/>
  <c r="AI487" i="8"/>
  <c r="AH487" i="8"/>
  <c r="Q486" i="8"/>
  <c r="P487" i="8" s="1"/>
  <c r="B488" i="8"/>
  <c r="M488" i="8" s="1"/>
  <c r="C489" i="8"/>
  <c r="Y489" i="8" s="1"/>
  <c r="AD487" i="8"/>
  <c r="AC487" i="8"/>
  <c r="AO487" i="8" l="1"/>
  <c r="A488" i="8"/>
  <c r="X488" i="8"/>
  <c r="Q487" i="8"/>
  <c r="P488" i="8" s="1"/>
  <c r="AH488" i="8"/>
  <c r="AG488" i="8"/>
  <c r="AI488" i="8"/>
  <c r="C490" i="8"/>
  <c r="Y490" i="8" s="1"/>
  <c r="B489" i="8"/>
  <c r="M489" i="8" s="1"/>
  <c r="AD488" i="8"/>
  <c r="AC488" i="8"/>
  <c r="AO488" i="8" l="1"/>
  <c r="A489" i="8"/>
  <c r="X489" i="8"/>
  <c r="AI489" i="8"/>
  <c r="AG489" i="8"/>
  <c r="AH489" i="8"/>
  <c r="Q488" i="8"/>
  <c r="P489" i="8" s="1"/>
  <c r="AD489" i="8"/>
  <c r="AC489" i="8"/>
  <c r="B490" i="8"/>
  <c r="M490" i="8" s="1"/>
  <c r="C491" i="8"/>
  <c r="Y491" i="8" s="1"/>
  <c r="AO489" i="8" l="1"/>
  <c r="A490" i="8"/>
  <c r="X490" i="8"/>
  <c r="Q489" i="8"/>
  <c r="P490" i="8" s="1"/>
  <c r="AG490" i="8"/>
  <c r="AH490" i="8"/>
  <c r="AI490" i="8"/>
  <c r="B491" i="8"/>
  <c r="M491" i="8" s="1"/>
  <c r="C492" i="8"/>
  <c r="Y492" i="8" s="1"/>
  <c r="AC490" i="8"/>
  <c r="AD490" i="8"/>
  <c r="AO490" i="8" l="1"/>
  <c r="A491" i="8"/>
  <c r="X491" i="8"/>
  <c r="Q490" i="8"/>
  <c r="P491" i="8" s="1"/>
  <c r="AG491" i="8"/>
  <c r="AH491" i="8"/>
  <c r="AI491" i="8"/>
  <c r="C493" i="8"/>
  <c r="Y493" i="8" s="1"/>
  <c r="B492" i="8"/>
  <c r="M492" i="8" s="1"/>
  <c r="AD491" i="8"/>
  <c r="AC491" i="8"/>
  <c r="AO491" i="8" l="1"/>
  <c r="A492" i="8"/>
  <c r="X492" i="8"/>
  <c r="Q491" i="8"/>
  <c r="P492" i="8" s="1"/>
  <c r="AH492" i="8"/>
  <c r="AG492" i="8"/>
  <c r="AI492" i="8"/>
  <c r="AC492" i="8"/>
  <c r="AD492" i="8"/>
  <c r="B493" i="8"/>
  <c r="M493" i="8" s="1"/>
  <c r="C494" i="8"/>
  <c r="Y494" i="8" s="1"/>
  <c r="AO492" i="8" l="1"/>
  <c r="A493" i="8"/>
  <c r="X493" i="8"/>
  <c r="Q492" i="8"/>
  <c r="P493" i="8" s="1"/>
  <c r="AI493" i="8"/>
  <c r="AG493" i="8"/>
  <c r="AH493" i="8"/>
  <c r="C495" i="8"/>
  <c r="Y495" i="8" s="1"/>
  <c r="B494" i="8"/>
  <c r="M494" i="8" s="1"/>
  <c r="AD493" i="8"/>
  <c r="AC493" i="8"/>
  <c r="AO493" i="8" l="1"/>
  <c r="A494" i="8"/>
  <c r="X494" i="8"/>
  <c r="Q493" i="8"/>
  <c r="P494" i="8" s="1"/>
  <c r="AH494" i="8"/>
  <c r="AG494" i="8"/>
  <c r="AI494" i="8"/>
  <c r="AD494" i="8"/>
  <c r="AC494" i="8"/>
  <c r="B495" i="8"/>
  <c r="M495" i="8" s="1"/>
  <c r="C496" i="8"/>
  <c r="Y496" i="8" s="1"/>
  <c r="AO494" i="8" l="1"/>
  <c r="A495" i="8"/>
  <c r="X495" i="8"/>
  <c r="Q494" i="8"/>
  <c r="P495" i="8" s="1"/>
  <c r="AG495" i="8"/>
  <c r="AH495" i="8"/>
  <c r="AI495" i="8"/>
  <c r="C497" i="8"/>
  <c r="Y497" i="8" s="1"/>
  <c r="B496" i="8"/>
  <c r="M496" i="8" s="1"/>
  <c r="AD495" i="8"/>
  <c r="AC495" i="8"/>
  <c r="AO495" i="8" l="1"/>
  <c r="A496" i="8"/>
  <c r="X496" i="8"/>
  <c r="AH496" i="8"/>
  <c r="AG496" i="8"/>
  <c r="AI496" i="8"/>
  <c r="Q495" i="8"/>
  <c r="P496" i="8" s="1"/>
  <c r="AD496" i="8"/>
  <c r="AC496" i="8"/>
  <c r="C498" i="8"/>
  <c r="Y498" i="8" s="1"/>
  <c r="B497" i="8"/>
  <c r="M497" i="8" s="1"/>
  <c r="AO496" i="8" l="1"/>
  <c r="A497" i="8"/>
  <c r="X497" i="8"/>
  <c r="Q496" i="8"/>
  <c r="P497" i="8" s="1"/>
  <c r="AI497" i="8"/>
  <c r="AG497" i="8"/>
  <c r="AH497" i="8"/>
  <c r="AD497" i="8"/>
  <c r="AC497" i="8"/>
  <c r="C499" i="8"/>
  <c r="Y499" i="8" s="1"/>
  <c r="B498" i="8"/>
  <c r="M498" i="8" s="1"/>
  <c r="AO497" i="8" l="1"/>
  <c r="A498" i="8"/>
  <c r="X498" i="8"/>
  <c r="Q497" i="8"/>
  <c r="P498" i="8" s="1"/>
  <c r="AG498" i="8"/>
  <c r="AH498" i="8"/>
  <c r="AI498" i="8"/>
  <c r="AC498" i="8"/>
  <c r="AD498" i="8"/>
  <c r="B499" i="8"/>
  <c r="M499" i="8" s="1"/>
  <c r="C500" i="8"/>
  <c r="Y500" i="8" s="1"/>
  <c r="AO498" i="8" l="1"/>
  <c r="A499" i="8"/>
  <c r="X499" i="8"/>
  <c r="Q498" i="8"/>
  <c r="P499" i="8" s="1"/>
  <c r="AG499" i="8"/>
  <c r="AI499" i="8"/>
  <c r="AH499" i="8"/>
  <c r="B500" i="8"/>
  <c r="M500" i="8" s="1"/>
  <c r="C501" i="8"/>
  <c r="Y501" i="8" s="1"/>
  <c r="AD499" i="8"/>
  <c r="AC499" i="8"/>
  <c r="AO499" i="8" l="1"/>
  <c r="A500" i="8"/>
  <c r="X500" i="8"/>
  <c r="Q499" i="8"/>
  <c r="P500" i="8" s="1"/>
  <c r="AH500" i="8"/>
  <c r="AG500" i="8"/>
  <c r="AI500" i="8"/>
  <c r="B501" i="8"/>
  <c r="M501" i="8" s="1"/>
  <c r="C502" i="8"/>
  <c r="Y502" i="8" s="1"/>
  <c r="AC500" i="8"/>
  <c r="AD500" i="8"/>
  <c r="AO500" i="8" l="1"/>
  <c r="A501" i="8"/>
  <c r="X501" i="8"/>
  <c r="Q500" i="8"/>
  <c r="P501" i="8" s="1"/>
  <c r="AI501" i="8"/>
  <c r="AG501" i="8"/>
  <c r="AH501" i="8"/>
  <c r="C503" i="8"/>
  <c r="Y503" i="8" s="1"/>
  <c r="B502" i="8"/>
  <c r="M502" i="8" s="1"/>
  <c r="AD501" i="8"/>
  <c r="AC501" i="8"/>
  <c r="AO501" i="8" l="1"/>
  <c r="A502" i="8"/>
  <c r="X502" i="8"/>
  <c r="Q501" i="8"/>
  <c r="P502" i="8" s="1"/>
  <c r="AG502" i="8"/>
  <c r="AH502" i="8"/>
  <c r="AI502" i="8"/>
  <c r="AD502" i="8"/>
  <c r="AC502" i="8"/>
  <c r="C504" i="8"/>
  <c r="Y504" i="8" s="1"/>
  <c r="B503" i="8"/>
  <c r="M503" i="8" s="1"/>
  <c r="AO502" i="8" l="1"/>
  <c r="A503" i="8"/>
  <c r="X503" i="8"/>
  <c r="Q502" i="8"/>
  <c r="P503" i="8" s="1"/>
  <c r="AG503" i="8"/>
  <c r="AI503" i="8"/>
  <c r="AH503" i="8"/>
  <c r="AD503" i="8"/>
  <c r="AC503" i="8"/>
  <c r="B504" i="8"/>
  <c r="M504" i="8" s="1"/>
  <c r="C505" i="8"/>
  <c r="Y505" i="8" s="1"/>
  <c r="E60" i="7" s="1"/>
  <c r="AO503" i="8" l="1"/>
  <c r="A504" i="8"/>
  <c r="X504" i="8"/>
  <c r="Q503" i="8"/>
  <c r="P504" i="8" s="1"/>
  <c r="B505" i="8"/>
  <c r="AH504" i="8"/>
  <c r="AI504" i="8"/>
  <c r="AG504" i="8"/>
  <c r="AD504" i="8"/>
  <c r="AC504" i="8"/>
  <c r="X505" i="8" l="1"/>
  <c r="M505" i="8"/>
  <c r="AO504" i="8"/>
  <c r="A505" i="8"/>
  <c r="B44" i="7"/>
  <c r="AC505" i="8"/>
  <c r="Q504" i="8"/>
  <c r="P505" i="8" s="1"/>
  <c r="X506" i="8"/>
  <c r="E58" i="7" s="1"/>
  <c r="AD505" i="8"/>
  <c r="AI505" i="8"/>
  <c r="AG505" i="8"/>
  <c r="AH505" i="8"/>
  <c r="AO505" i="8" l="1"/>
  <c r="AO506" i="8" s="1"/>
  <c r="Q505" i="8"/>
  <c r="E62" i="7" l="1"/>
  <c r="AN22" i="8" l="1"/>
  <c r="F23" i="8" l="1"/>
  <c r="H23" i="8" s="1"/>
  <c r="AN23" i="8"/>
  <c r="I23" i="8" l="1"/>
  <c r="F24" i="8"/>
  <c r="H24" i="8" s="1"/>
  <c r="AN24" i="8"/>
  <c r="I24" i="8" l="1"/>
  <c r="F25" i="8"/>
  <c r="H25" i="8" s="1"/>
  <c r="K10" i="8"/>
  <c r="N11" i="8"/>
  <c r="I25" i="8" l="1"/>
  <c r="J11" i="8"/>
  <c r="E10" i="8"/>
  <c r="T10" i="8" s="1"/>
  <c r="K11" i="8"/>
  <c r="N12" i="8"/>
  <c r="D11" i="8" l="1"/>
  <c r="J12" i="8"/>
  <c r="K12" i="8"/>
  <c r="N13" i="8"/>
  <c r="R11" i="8" l="1"/>
  <c r="Z10" i="8"/>
  <c r="AB10" i="8" s="1"/>
  <c r="AM10" i="8"/>
  <c r="J13" i="8"/>
  <c r="U11" i="8"/>
  <c r="S11" i="8" l="1"/>
  <c r="AJ11" i="8" s="1"/>
  <c r="M11" i="8" s="1"/>
  <c r="L12" i="8" s="1"/>
  <c r="AK11" i="8"/>
  <c r="AL11" i="8"/>
  <c r="W11" i="8"/>
  <c r="V11" i="8" l="1"/>
  <c r="E11" i="8" s="1"/>
  <c r="T11" i="8" s="1"/>
  <c r="U12" i="8" l="1"/>
  <c r="D12" i="8"/>
  <c r="AM11" i="8" l="1"/>
  <c r="Z11" i="8"/>
  <c r="AB11" i="8" s="1"/>
  <c r="R12" i="8"/>
  <c r="O13" i="8"/>
  <c r="AK12" i="8" l="1"/>
  <c r="AL12" i="8"/>
  <c r="S12" i="8"/>
  <c r="AJ12" i="8" s="1"/>
  <c r="M12" i="8" s="1"/>
  <c r="W12" i="8"/>
  <c r="N14" i="8"/>
  <c r="K13" i="8"/>
  <c r="J14" i="8" s="1"/>
  <c r="V12" i="8" l="1"/>
  <c r="L13" i="8"/>
  <c r="E12" i="8" l="1"/>
  <c r="D13" i="8" s="1"/>
  <c r="U13" i="8"/>
  <c r="O14" i="8"/>
  <c r="T12" i="8" l="1"/>
  <c r="Z12" i="8" s="1"/>
  <c r="AB12" i="8" s="1"/>
  <c r="K14" i="8"/>
  <c r="J15" i="8" s="1"/>
  <c r="N15" i="8"/>
  <c r="AM12" i="8" l="1"/>
  <c r="R13" i="8"/>
  <c r="AK13" i="8" l="1"/>
  <c r="AL13" i="8"/>
  <c r="W13" i="8"/>
  <c r="S13" i="8"/>
  <c r="AJ13" i="8" s="1"/>
  <c r="M13" i="8" s="1"/>
  <c r="L14" i="8" s="1"/>
  <c r="V13" i="8" l="1"/>
  <c r="U14" i="8" s="1"/>
  <c r="O15" i="8"/>
  <c r="E13" i="8" l="1"/>
  <c r="D14" i="8" s="1"/>
  <c r="K15" i="8"/>
  <c r="J16" i="8" s="1"/>
  <c r="N16" i="8"/>
  <c r="T13" i="8" l="1"/>
  <c r="Z13" i="8" s="1"/>
  <c r="AB13" i="8" s="1"/>
  <c r="R14" i="8" l="1"/>
  <c r="W14" i="8" s="1"/>
  <c r="AM13" i="8"/>
  <c r="S14" i="8" l="1"/>
  <c r="AJ14" i="8" s="1"/>
  <c r="M14" i="8" s="1"/>
  <c r="V14" i="8" s="1"/>
  <c r="U15" i="8" s="1"/>
  <c r="AK14" i="8"/>
  <c r="AL14" i="8"/>
  <c r="O16" i="8"/>
  <c r="L15" i="8" l="1"/>
  <c r="E14" i="8"/>
  <c r="K16" i="8"/>
  <c r="N17" i="8"/>
  <c r="D15" i="8" l="1"/>
  <c r="T14" i="8"/>
  <c r="J17" i="8"/>
  <c r="O17" i="8"/>
  <c r="R15" i="8" l="1"/>
  <c r="S15" i="8" s="1"/>
  <c r="AJ15" i="8" s="1"/>
  <c r="Z14" i="8"/>
  <c r="AB14" i="8" s="1"/>
  <c r="AM14" i="8"/>
  <c r="K17" i="8"/>
  <c r="J18" i="8" s="1"/>
  <c r="N18" i="8"/>
  <c r="W15" i="8" l="1"/>
  <c r="AK15" i="8"/>
  <c r="AL15" i="8"/>
  <c r="M15" i="8"/>
  <c r="V15" i="8" l="1"/>
  <c r="U16" i="8" s="1"/>
  <c r="L16" i="8"/>
  <c r="E15" i="8" l="1"/>
  <c r="O18" i="8"/>
  <c r="N19" i="8" s="1"/>
  <c r="K18" i="8"/>
  <c r="J19" i="8" s="1"/>
  <c r="D16" i="8" l="1"/>
  <c r="T15" i="8"/>
  <c r="AM15" i="8" s="1"/>
  <c r="R16" i="8" l="1"/>
  <c r="Z15" i="8"/>
  <c r="AB15" i="8" s="1"/>
  <c r="AK16" i="8" l="1"/>
  <c r="AL16" i="8"/>
  <c r="S16" i="8"/>
  <c r="AJ16" i="8" s="1"/>
  <c r="M16" i="8" s="1"/>
  <c r="W16" i="8"/>
  <c r="O19" i="8"/>
  <c r="L17" i="8" l="1"/>
  <c r="V16" i="8"/>
  <c r="K19" i="8"/>
  <c r="N20" i="8"/>
  <c r="U17" i="8" l="1"/>
  <c r="E16" i="8"/>
  <c r="T16" i="8" s="1"/>
  <c r="J20" i="8"/>
  <c r="O20" i="8"/>
  <c r="Z16" i="8" l="1"/>
  <c r="AM16" i="8"/>
  <c r="R17" i="8"/>
  <c r="D17" i="8"/>
  <c r="K20" i="8"/>
  <c r="J21" i="8" s="1"/>
  <c r="N21" i="8"/>
  <c r="AK17" i="8" l="1"/>
  <c r="AL17" i="8"/>
  <c r="AB16" i="8"/>
  <c r="W17" i="8"/>
  <c r="S17" i="8"/>
  <c r="AJ17" i="8" l="1"/>
  <c r="M17" i="8" l="1"/>
  <c r="O21" i="8"/>
  <c r="L18" i="8" l="1"/>
  <c r="V17" i="8"/>
  <c r="K21" i="8"/>
  <c r="N22" i="8"/>
  <c r="U18" i="8" l="1"/>
  <c r="E17" i="8"/>
  <c r="T17" i="8" s="1"/>
  <c r="J22" i="8"/>
  <c r="O22" i="8"/>
  <c r="Z17" i="8" l="1"/>
  <c r="AM17" i="8"/>
  <c r="R18" i="8"/>
  <c r="D18" i="8"/>
  <c r="K22" i="8"/>
  <c r="J23" i="8" s="1"/>
  <c r="N23" i="8"/>
  <c r="AK18" i="8" l="1"/>
  <c r="AL18" i="8"/>
  <c r="AB17" i="8"/>
  <c r="W18" i="8"/>
  <c r="S18" i="8"/>
  <c r="AJ18" i="8" l="1"/>
  <c r="O23" i="8"/>
  <c r="M18" i="8" l="1"/>
  <c r="K23" i="8"/>
  <c r="J24" i="8" s="1"/>
  <c r="N24" i="8"/>
  <c r="L19" i="8" l="1"/>
  <c r="V18" i="8"/>
  <c r="U19" i="8" l="1"/>
  <c r="E18" i="8"/>
  <c r="T18" i="8" s="1"/>
  <c r="Z18" i="8" l="1"/>
  <c r="D19" i="8"/>
  <c r="AB18" i="8" l="1"/>
  <c r="R19" i="8"/>
  <c r="AM18" i="8"/>
  <c r="O24" i="8"/>
  <c r="N25" i="8" s="1"/>
  <c r="K24" i="8"/>
  <c r="J25" i="8" s="1"/>
  <c r="AK19" i="8" l="1"/>
  <c r="AL19" i="8"/>
  <c r="S19" i="8"/>
  <c r="AJ19" i="8" s="1"/>
  <c r="W19" i="8"/>
  <c r="M19" i="8" l="1"/>
  <c r="L20" i="8" l="1"/>
  <c r="V19" i="8"/>
  <c r="AN25" i="8"/>
  <c r="U20" i="8" l="1"/>
  <c r="E19" i="8"/>
  <c r="T19" i="8" s="1"/>
  <c r="F26" i="8"/>
  <c r="H26" i="8" s="1"/>
  <c r="AN26" i="8"/>
  <c r="R20" i="8" l="1"/>
  <c r="D20" i="8"/>
  <c r="I26" i="8"/>
  <c r="O25" i="8"/>
  <c r="AN27" i="8"/>
  <c r="AK20" i="8" l="1"/>
  <c r="AL20" i="8"/>
  <c r="AM19" i="8"/>
  <c r="Z19" i="8"/>
  <c r="W20" i="8"/>
  <c r="S20" i="8"/>
  <c r="F27" i="8"/>
  <c r="H27" i="8" s="1"/>
  <c r="N26" i="8"/>
  <c r="K25" i="8"/>
  <c r="AB19" i="8" l="1"/>
  <c r="AJ20" i="8"/>
  <c r="I27" i="8"/>
  <c r="J26" i="8"/>
  <c r="M20" i="8" l="1"/>
  <c r="F28" i="8"/>
  <c r="H28" i="8" s="1"/>
  <c r="L21" i="8" l="1"/>
  <c r="V20" i="8"/>
  <c r="I28" i="8"/>
  <c r="F29" i="8"/>
  <c r="H29" i="8" s="1"/>
  <c r="O26" i="8"/>
  <c r="U21" i="8" l="1"/>
  <c r="E20" i="8"/>
  <c r="T20" i="8" s="1"/>
  <c r="I29" i="8"/>
  <c r="K26" i="8"/>
  <c r="J27" i="8" s="1"/>
  <c r="N27" i="8"/>
  <c r="Z20" i="8" l="1"/>
  <c r="AB20" i="8" s="1"/>
  <c r="AM20" i="8"/>
  <c r="R21" i="8"/>
  <c r="D21" i="8"/>
  <c r="F30" i="8"/>
  <c r="H30" i="8" s="1"/>
  <c r="AK21" i="8" l="1"/>
  <c r="AL21" i="8"/>
  <c r="W21" i="8"/>
  <c r="S21" i="8"/>
  <c r="I30" i="8"/>
  <c r="F31" i="8"/>
  <c r="H31" i="8" s="1"/>
  <c r="AJ21" i="8" l="1"/>
  <c r="I31" i="8"/>
  <c r="O27" i="8"/>
  <c r="M21" i="8" l="1"/>
  <c r="K27" i="8"/>
  <c r="J28" i="8" s="1"/>
  <c r="N28" i="8"/>
  <c r="L22" i="8" l="1"/>
  <c r="V21" i="8"/>
  <c r="U22" i="8" l="1"/>
  <c r="E21" i="8"/>
  <c r="T21" i="8" s="1"/>
  <c r="O28" i="8"/>
  <c r="D22" i="8" l="1"/>
  <c r="K28" i="8"/>
  <c r="J29" i="8" s="1"/>
  <c r="N29" i="8"/>
  <c r="AM21" i="8" l="1"/>
  <c r="Z21" i="8"/>
  <c r="R22" i="8"/>
  <c r="AB21" i="8" l="1"/>
  <c r="AK22" i="8"/>
  <c r="AL22" i="8"/>
  <c r="W22" i="8"/>
  <c r="S22" i="8"/>
  <c r="AJ22" i="8" s="1"/>
  <c r="O29" i="8"/>
  <c r="N30" i="8" s="1"/>
  <c r="K29" i="8"/>
  <c r="J30" i="8" s="1"/>
  <c r="M22" i="8" l="1"/>
  <c r="L23" i="8" l="1"/>
  <c r="V22" i="8"/>
  <c r="O30" i="8"/>
  <c r="N31" i="8" s="1"/>
  <c r="K30" i="8"/>
  <c r="J31" i="8" s="1"/>
  <c r="U23" i="8" l="1"/>
  <c r="E22" i="8"/>
  <c r="T22" i="8" s="1"/>
  <c r="R23" i="8" l="1"/>
  <c r="D23" i="8"/>
  <c r="F32" i="8"/>
  <c r="H32" i="8" l="1"/>
  <c r="I32" i="8" s="1"/>
  <c r="AK23" i="8"/>
  <c r="AL23" i="8"/>
  <c r="AM22" i="8"/>
  <c r="Z22" i="8"/>
  <c r="W23" i="8"/>
  <c r="S23" i="8"/>
  <c r="F33" i="8"/>
  <c r="I33" i="8" s="1"/>
  <c r="O31" i="8"/>
  <c r="AB22" i="8" l="1"/>
  <c r="AJ23" i="8"/>
  <c r="N32" i="8"/>
  <c r="K31" i="8"/>
  <c r="J32" i="8" s="1"/>
  <c r="M23" i="8" l="1"/>
  <c r="L24" i="8" l="1"/>
  <c r="V23" i="8"/>
  <c r="O32" i="8"/>
  <c r="N33" i="8" s="1"/>
  <c r="K32" i="8"/>
  <c r="J33" i="8" s="1"/>
  <c r="U24" i="8" l="1"/>
  <c r="E23" i="8"/>
  <c r="T23" i="8" s="1"/>
  <c r="F34" i="8"/>
  <c r="H34" i="8" l="1"/>
  <c r="R24" i="8"/>
  <c r="D24" i="8"/>
  <c r="F35" i="8"/>
  <c r="H35" i="8" l="1"/>
  <c r="I34" i="8"/>
  <c r="AK24" i="8"/>
  <c r="AL24" i="8"/>
  <c r="AM23" i="8"/>
  <c r="Z23" i="8"/>
  <c r="W24" i="8"/>
  <c r="S24" i="8"/>
  <c r="I35" i="8"/>
  <c r="O33" i="8"/>
  <c r="N34" i="8" s="1"/>
  <c r="F36" i="8"/>
  <c r="H36" i="8" s="1"/>
  <c r="K33" i="8"/>
  <c r="J34" i="8" s="1"/>
  <c r="AB23" i="8" l="1"/>
  <c r="AJ24" i="8"/>
  <c r="I36" i="8"/>
  <c r="F37" i="8"/>
  <c r="H37" i="8" s="1"/>
  <c r="M24" i="8" l="1"/>
  <c r="I37" i="8"/>
  <c r="O34" i="8"/>
  <c r="N35" i="8" s="1"/>
  <c r="K34" i="8"/>
  <c r="J35" i="8" s="1"/>
  <c r="L25" i="8" l="1"/>
  <c r="V24" i="8"/>
  <c r="O35" i="8"/>
  <c r="U25" i="8" l="1"/>
  <c r="E24" i="8"/>
  <c r="T24" i="8" s="1"/>
  <c r="K35" i="8"/>
  <c r="J36" i="8" s="1"/>
  <c r="N36" i="8"/>
  <c r="AM24" i="8" l="1"/>
  <c r="D25" i="8"/>
  <c r="O36" i="8"/>
  <c r="R25" i="8" l="1"/>
  <c r="Z24" i="8"/>
  <c r="K36" i="8"/>
  <c r="J37" i="8" s="1"/>
  <c r="N37" i="8"/>
  <c r="AB24" i="8" l="1"/>
  <c r="AK25" i="8"/>
  <c r="AL25" i="8"/>
  <c r="S25" i="8"/>
  <c r="AJ25" i="8" s="1"/>
  <c r="W25" i="8"/>
  <c r="F38" i="8"/>
  <c r="H38" i="8" l="1"/>
  <c r="M25" i="8"/>
  <c r="F39" i="8"/>
  <c r="H39" i="8" l="1"/>
  <c r="I38" i="8"/>
  <c r="V25" i="8"/>
  <c r="L26" i="8"/>
  <c r="I39" i="8"/>
  <c r="O37" i="8"/>
  <c r="F40" i="8"/>
  <c r="H40" i="8" l="1"/>
  <c r="I40" i="8" s="1"/>
  <c r="U26" i="8"/>
  <c r="E25" i="8"/>
  <c r="T25" i="8" s="1"/>
  <c r="N38" i="8"/>
  <c r="K37" i="8"/>
  <c r="J38" i="8" s="1"/>
  <c r="Z25" i="8" l="1"/>
  <c r="D26" i="8"/>
  <c r="F41" i="8"/>
  <c r="H41" i="8" s="1"/>
  <c r="AB25" i="8" l="1"/>
  <c r="AM25" i="8"/>
  <c r="R26" i="8"/>
  <c r="I41" i="8"/>
  <c r="F42" i="8"/>
  <c r="H42" i="8" s="1"/>
  <c r="W26" i="8" l="1"/>
  <c r="AK26" i="8"/>
  <c r="AL26" i="8"/>
  <c r="S26" i="8"/>
  <c r="AJ26" i="8" s="1"/>
  <c r="I42" i="8"/>
  <c r="O38" i="8"/>
  <c r="M26" i="8" l="1"/>
  <c r="K38" i="8"/>
  <c r="J39" i="8" s="1"/>
  <c r="N39" i="8"/>
  <c r="V26" i="8" l="1"/>
  <c r="E26" i="8" s="1"/>
  <c r="T26" i="8" s="1"/>
  <c r="L27" i="8"/>
  <c r="O39" i="8"/>
  <c r="U27" i="8" l="1"/>
  <c r="R27" i="8"/>
  <c r="AM26" i="8"/>
  <c r="D27" i="8"/>
  <c r="K39" i="8"/>
  <c r="J40" i="8" s="1"/>
  <c r="N40" i="8"/>
  <c r="AK27" i="8" l="1"/>
  <c r="AL27" i="8"/>
  <c r="Z26" i="8"/>
  <c r="AB26" i="8" s="1"/>
  <c r="S27" i="8"/>
  <c r="W27" i="8"/>
  <c r="O40" i="8"/>
  <c r="N41" i="8" s="1"/>
  <c r="K40" i="8"/>
  <c r="J41" i="8" s="1"/>
  <c r="AJ27" i="8" l="1"/>
  <c r="O41" i="8"/>
  <c r="M27" i="8" l="1"/>
  <c r="N42" i="8"/>
  <c r="K41" i="8"/>
  <c r="J42" i="8" s="1"/>
  <c r="L28" i="8" l="1"/>
  <c r="V27" i="8"/>
  <c r="O42" i="8"/>
  <c r="K42" i="8" s="1"/>
  <c r="J43" i="8" s="1"/>
  <c r="U28" i="8" l="1"/>
  <c r="E27" i="8"/>
  <c r="T27" i="8" s="1"/>
  <c r="N43" i="8"/>
  <c r="Z27" i="8" l="1"/>
  <c r="AM27" i="8"/>
  <c r="R28" i="8"/>
  <c r="D28" i="8"/>
  <c r="O43" i="8"/>
  <c r="AB27" i="8" l="1"/>
  <c r="W28" i="8"/>
  <c r="S28" i="8"/>
  <c r="N44" i="8"/>
  <c r="K43" i="8"/>
  <c r="J44" i="8" s="1"/>
  <c r="AN28" i="8" l="1"/>
  <c r="AJ28" i="8"/>
  <c r="O44" i="8"/>
  <c r="AK28" i="8" l="1"/>
  <c r="AL28" i="8"/>
  <c r="AN29" i="8"/>
  <c r="M28" i="8"/>
  <c r="K44" i="8"/>
  <c r="J45" i="8" s="1"/>
  <c r="N45" i="8"/>
  <c r="AN30" i="8" l="1"/>
  <c r="V28" i="8"/>
  <c r="U29" i="8" s="1"/>
  <c r="L29" i="8"/>
  <c r="AN32" i="8" l="1"/>
  <c r="AN31" i="8"/>
  <c r="E28" i="8"/>
  <c r="D29" i="8" l="1"/>
  <c r="T28" i="8"/>
  <c r="R29" i="8" s="1"/>
  <c r="AK29" i="8" l="1"/>
  <c r="AL29" i="8"/>
  <c r="AM28" i="8"/>
  <c r="Z28" i="8"/>
  <c r="AB28" i="8" s="1"/>
  <c r="W29" i="8"/>
  <c r="S29" i="8"/>
  <c r="AJ29" i="8" s="1"/>
  <c r="M29" i="8" s="1"/>
  <c r="L30" i="8" l="1"/>
  <c r="V29" i="8"/>
  <c r="U30" i="8" l="1"/>
  <c r="E29" i="8"/>
  <c r="T29" i="8" s="1"/>
  <c r="D30" i="8" l="1"/>
  <c r="R30" i="8" l="1"/>
  <c r="Z29" i="8"/>
  <c r="AB29" i="8" s="1"/>
  <c r="AM29" i="8"/>
  <c r="AK30" i="8" l="1"/>
  <c r="AL30" i="8"/>
  <c r="W30" i="8"/>
  <c r="S30" i="8"/>
  <c r="AJ30" i="8" s="1"/>
  <c r="M30" i="8" l="1"/>
  <c r="L31" i="8" l="1"/>
  <c r="V30" i="8"/>
  <c r="U31" i="8" l="1"/>
  <c r="E30" i="8"/>
  <c r="T30" i="8" s="1"/>
  <c r="Z30" i="8" l="1"/>
  <c r="AB30" i="8" s="1"/>
  <c r="AM30" i="8"/>
  <c r="R31" i="8"/>
  <c r="D31" i="8"/>
  <c r="AK31" i="8" l="1"/>
  <c r="AL31" i="8"/>
  <c r="W31" i="8"/>
  <c r="S31" i="8"/>
  <c r="AJ31" i="8" l="1"/>
  <c r="M31" i="8" l="1"/>
  <c r="V31" i="8" l="1"/>
  <c r="U32" i="8" s="1"/>
  <c r="L32" i="8"/>
  <c r="E31" i="8" l="1"/>
  <c r="D32" i="8" l="1"/>
  <c r="T31" i="8"/>
  <c r="AM31" i="8" s="1"/>
  <c r="R32" i="8" l="1"/>
  <c r="Z31" i="8"/>
  <c r="AB31" i="8" s="1"/>
  <c r="AK32" i="8" l="1"/>
  <c r="AL32" i="8"/>
  <c r="W32" i="8"/>
  <c r="S32" i="8"/>
  <c r="AJ32" i="8" s="1"/>
  <c r="M32" i="8" s="1"/>
  <c r="L33" i="8" l="1"/>
  <c r="V32" i="8"/>
  <c r="U33" i="8" l="1"/>
  <c r="E32" i="8"/>
  <c r="T32" i="8" s="1"/>
  <c r="Z32" i="8" l="1"/>
  <c r="D33" i="8"/>
  <c r="AB32" i="8" l="1"/>
  <c r="AA33" i="8"/>
  <c r="AA34" i="8" s="1"/>
  <c r="AA35" i="8" s="1"/>
  <c r="AA36" i="8" s="1"/>
  <c r="AA37" i="8" s="1"/>
  <c r="AA38" i="8" s="1"/>
  <c r="AA39" i="8" s="1"/>
  <c r="AA40" i="8" s="1"/>
  <c r="AA41" i="8" s="1"/>
  <c r="AA42" i="8" s="1"/>
  <c r="AA43" i="8" s="1"/>
  <c r="AA44" i="8" s="1"/>
  <c r="R33" i="8"/>
  <c r="AM32" i="8"/>
  <c r="AN33" i="8" l="1"/>
  <c r="AK33" i="8" s="1"/>
  <c r="S33" i="8"/>
  <c r="AJ33" i="8" s="1"/>
  <c r="M33" i="8" s="1"/>
  <c r="L34" i="8" s="1"/>
  <c r="W33" i="8"/>
  <c r="AN34" i="8"/>
  <c r="AL33" i="8" l="1"/>
  <c r="V33" i="8"/>
  <c r="U34" i="8" s="1"/>
  <c r="AN35" i="8"/>
  <c r="E33" i="8" l="1"/>
  <c r="T33" i="8" s="1"/>
  <c r="Z33" i="8" s="1"/>
  <c r="AN36" i="8"/>
  <c r="R34" i="8" l="1"/>
  <c r="AK34" i="8" s="1"/>
  <c r="D34" i="8"/>
  <c r="AM33" i="8"/>
  <c r="AN37" i="8"/>
  <c r="S34" i="8" l="1"/>
  <c r="AJ34" i="8" s="1"/>
  <c r="W34" i="8"/>
  <c r="AL34" i="8"/>
  <c r="AN38" i="8"/>
  <c r="AN39" i="8" l="1"/>
  <c r="M34" i="8"/>
  <c r="V34" i="8" l="1"/>
  <c r="U35" i="8" s="1"/>
  <c r="L35" i="8"/>
  <c r="E34" i="8" l="1"/>
  <c r="D35" i="8" l="1"/>
  <c r="T34" i="8"/>
  <c r="R35" i="8" l="1"/>
  <c r="Z34" i="8"/>
  <c r="AM34" i="8"/>
  <c r="AK35" i="8" l="1"/>
  <c r="AL35" i="8"/>
  <c r="W35" i="8"/>
  <c r="S35" i="8"/>
  <c r="AJ35" i="8" s="1"/>
  <c r="M35" i="8" s="1"/>
  <c r="V35" i="8" l="1"/>
  <c r="E35" i="8" s="1"/>
  <c r="L36" i="8"/>
  <c r="T35" i="8" l="1"/>
  <c r="R36" i="8" s="1"/>
  <c r="U36" i="8"/>
  <c r="D36" i="8"/>
  <c r="AM35" i="8" l="1"/>
  <c r="AK36" i="8"/>
  <c r="AL36" i="8"/>
  <c r="S36" i="8"/>
  <c r="AJ36" i="8" s="1"/>
  <c r="Z35" i="8"/>
  <c r="W36" i="8"/>
  <c r="M36" i="8" l="1"/>
  <c r="V36" i="8" l="1"/>
  <c r="L37" i="8"/>
  <c r="E36" i="8" l="1"/>
  <c r="U37" i="8"/>
  <c r="D37" i="8" l="1"/>
  <c r="T36" i="8"/>
  <c r="AM36" i="8" s="1"/>
  <c r="R37" i="8" l="1"/>
  <c r="Z36" i="8"/>
  <c r="AK37" i="8" l="1"/>
  <c r="AL37" i="8"/>
  <c r="S37" i="8"/>
  <c r="AJ37" i="8" s="1"/>
  <c r="M37" i="8" s="1"/>
  <c r="W37" i="8"/>
  <c r="V37" i="8" l="1"/>
  <c r="L38" i="8"/>
  <c r="E37" i="8" l="1"/>
  <c r="U38" i="8"/>
  <c r="T37" i="8" l="1"/>
  <c r="R38" i="8" s="1"/>
  <c r="D38" i="8"/>
  <c r="AK38" i="8" l="1"/>
  <c r="AL38" i="8"/>
  <c r="S38" i="8"/>
  <c r="AJ38" i="8" s="1"/>
  <c r="AM37" i="8"/>
  <c r="Z37" i="8"/>
  <c r="W38" i="8"/>
  <c r="M38" i="8" l="1"/>
  <c r="V38" i="8" l="1"/>
  <c r="L39" i="8"/>
  <c r="U39" i="8" l="1"/>
  <c r="E38" i="8"/>
  <c r="T38" i="8" l="1"/>
  <c r="R39" i="8" s="1"/>
  <c r="D39" i="8"/>
  <c r="AK39" i="8" l="1"/>
  <c r="AL39" i="8"/>
  <c r="Z38" i="8"/>
  <c r="S39" i="8"/>
  <c r="AJ39" i="8" s="1"/>
  <c r="AM38" i="8"/>
  <c r="W39" i="8"/>
  <c r="M39" i="8" l="1"/>
  <c r="V39" i="8" l="1"/>
  <c r="U40" i="8" s="1"/>
  <c r="L40" i="8"/>
  <c r="E39" i="8" l="1"/>
  <c r="T39" i="8" l="1"/>
  <c r="AM39" i="8" s="1"/>
  <c r="D40" i="8"/>
  <c r="Z39" i="8" l="1"/>
  <c r="R40" i="8"/>
  <c r="AN40" i="8" l="1"/>
  <c r="AK40" i="8" s="1"/>
  <c r="S40" i="8"/>
  <c r="AJ40" i="8" s="1"/>
  <c r="M40" i="8" s="1"/>
  <c r="W40" i="8"/>
  <c r="AL40" i="8" l="1"/>
  <c r="AN41" i="8"/>
  <c r="V40" i="8"/>
  <c r="L41" i="8"/>
  <c r="AN42" i="8" l="1"/>
  <c r="U41" i="8"/>
  <c r="E40" i="8"/>
  <c r="AN44" i="8" l="1"/>
  <c r="AN43" i="8"/>
  <c r="D41" i="8"/>
  <c r="T40" i="8"/>
  <c r="AM40" i="8" s="1"/>
  <c r="AB33" i="8" l="1"/>
  <c r="AB34" i="8" s="1"/>
  <c r="AB35" i="8" s="1"/>
  <c r="AB36" i="8" s="1"/>
  <c r="AB37" i="8" s="1"/>
  <c r="AB38" i="8" s="1"/>
  <c r="AB39" i="8" s="1"/>
  <c r="AB40" i="8" s="1"/>
  <c r="AB41" i="8" s="1"/>
  <c r="AB42" i="8" s="1"/>
  <c r="AB43" i="8" s="1"/>
  <c r="AB44" i="8" s="1"/>
  <c r="R41" i="8"/>
  <c r="Z40" i="8"/>
  <c r="AK41" i="8" l="1"/>
  <c r="AL41" i="8"/>
  <c r="W41" i="8"/>
  <c r="S41" i="8"/>
  <c r="AJ41" i="8" s="1"/>
  <c r="M41" i="8" s="1"/>
  <c r="V41" i="8" l="1"/>
  <c r="U42" i="8" s="1"/>
  <c r="L42" i="8"/>
  <c r="E41" i="8" l="1"/>
  <c r="T41" i="8" l="1"/>
  <c r="R42" i="8" s="1"/>
  <c r="D42" i="8"/>
  <c r="AK42" i="8" l="1"/>
  <c r="AL42" i="8"/>
  <c r="S42" i="8"/>
  <c r="AJ42" i="8" s="1"/>
  <c r="Z41" i="8"/>
  <c r="AM41" i="8"/>
  <c r="W42" i="8"/>
  <c r="M42" i="8" l="1"/>
  <c r="F43" i="8" s="1"/>
  <c r="H43" i="8" s="1"/>
  <c r="V42" i="8" l="1"/>
  <c r="U43" i="8" s="1"/>
  <c r="L43" i="8"/>
  <c r="E42" i="8" l="1"/>
  <c r="D43" i="8" l="1"/>
  <c r="T42" i="8"/>
  <c r="AM42" i="8" s="1"/>
  <c r="Z42" i="8" l="1"/>
  <c r="R43" i="8"/>
  <c r="AK43" i="8" l="1"/>
  <c r="AL43" i="8"/>
  <c r="W43" i="8"/>
  <c r="S43" i="8"/>
  <c r="AJ43" i="8" s="1"/>
  <c r="G43" i="8" l="1"/>
  <c r="M43" i="8" s="1"/>
  <c r="L44" i="8" s="1"/>
  <c r="F44" i="8" l="1"/>
  <c r="H44" i="8" s="1"/>
  <c r="I43" i="8"/>
  <c r="V43" i="8"/>
  <c r="U44" i="8" s="1"/>
  <c r="E43" i="8" l="1"/>
  <c r="D44" i="8" s="1"/>
  <c r="T43" i="8" l="1"/>
  <c r="R44" i="8" s="1"/>
  <c r="AK44" i="8" l="1"/>
  <c r="AL44" i="8"/>
  <c r="Z43" i="8"/>
  <c r="AM43" i="8"/>
  <c r="W44" i="8"/>
  <c r="S44" i="8"/>
  <c r="AJ44" i="8" s="1"/>
  <c r="G44" i="8" l="1"/>
  <c r="M44" i="8" s="1"/>
  <c r="L45" i="8" s="1"/>
  <c r="F45" i="8" l="1"/>
  <c r="I44" i="8"/>
  <c r="V44" i="8"/>
  <c r="U45" i="8" l="1"/>
  <c r="E44" i="8"/>
  <c r="T44" i="8" l="1"/>
  <c r="AM44" i="8" s="1"/>
  <c r="D45" i="8"/>
  <c r="R45" i="8" l="1"/>
  <c r="Z44" i="8"/>
  <c r="AA45" i="8" s="1"/>
  <c r="AA46" i="8" s="1"/>
  <c r="AA47" i="8" s="1"/>
  <c r="AA48" i="8" s="1"/>
  <c r="AA49" i="8" s="1"/>
  <c r="AA50" i="8" s="1"/>
  <c r="AA51" i="8" s="1"/>
  <c r="AA52" i="8" s="1"/>
  <c r="AA53" i="8" s="1"/>
  <c r="AA54" i="8" s="1"/>
  <c r="AA55" i="8" s="1"/>
  <c r="AA56" i="8" s="1"/>
  <c r="W45" i="8" l="1"/>
  <c r="S45" i="8"/>
  <c r="AJ45" i="8" s="1"/>
  <c r="AN45" i="8"/>
  <c r="AK45" i="8" s="1"/>
  <c r="G45" i="8" l="1"/>
  <c r="O45" i="8" s="1"/>
  <c r="N46" i="8" s="1"/>
  <c r="AL45" i="8"/>
  <c r="K45" i="8"/>
  <c r="J46" i="8" s="1"/>
  <c r="AN46" i="8"/>
  <c r="F46" i="8" l="1"/>
  <c r="H46" i="8" s="1"/>
  <c r="I45" i="8"/>
  <c r="M45" i="8"/>
  <c r="L46" i="8" s="1"/>
  <c r="AN47" i="8"/>
  <c r="V45" i="8" l="1"/>
  <c r="U46" i="8" s="1"/>
  <c r="AN48" i="8"/>
  <c r="E45" i="8" l="1"/>
  <c r="T45" i="8" s="1"/>
  <c r="AM45" i="8" s="1"/>
  <c r="AN49" i="8"/>
  <c r="D46" i="8" l="1"/>
  <c r="AN50" i="8"/>
  <c r="AN51" i="8"/>
  <c r="Z45" i="8"/>
  <c r="R46" i="8"/>
  <c r="AK46" i="8" l="1"/>
  <c r="AL46" i="8"/>
  <c r="S46" i="8"/>
  <c r="W46" i="8"/>
  <c r="AJ46" i="8" l="1"/>
  <c r="G46" i="8" l="1"/>
  <c r="O46" i="8" s="1"/>
  <c r="M60" i="8"/>
  <c r="M46" i="8" l="1"/>
  <c r="L47" i="8" s="1"/>
  <c r="N47" i="8"/>
  <c r="K46" i="8"/>
  <c r="J47" i="8" s="1"/>
  <c r="F47" i="8"/>
  <c r="H47" i="8" s="1"/>
  <c r="I46" i="8"/>
  <c r="V46" i="8" l="1"/>
  <c r="U47" i="8" s="1"/>
  <c r="E46" i="8" l="1"/>
  <c r="T46" i="8" s="1"/>
  <c r="D47" i="8" l="1"/>
  <c r="R47" i="8"/>
  <c r="Z46" i="8"/>
  <c r="AM46" i="8"/>
  <c r="W47" i="8" l="1"/>
  <c r="AK47" i="8"/>
  <c r="AL47" i="8"/>
  <c r="S47" i="8"/>
  <c r="AJ47" i="8" l="1"/>
  <c r="G47" i="8" l="1"/>
  <c r="O47" i="8" s="1"/>
  <c r="N48" i="8" s="1"/>
  <c r="M47" i="8" l="1"/>
  <c r="L48" i="8" s="1"/>
  <c r="I47" i="8"/>
  <c r="K47" i="8"/>
  <c r="J48" i="8" s="1"/>
  <c r="F48" i="8" l="1"/>
  <c r="H48" i="8" s="1"/>
  <c r="V47" i="8"/>
  <c r="M61" i="8"/>
  <c r="U48" i="8" l="1"/>
  <c r="E47" i="8"/>
  <c r="M62" i="8"/>
  <c r="T47" i="8" l="1"/>
  <c r="D48" i="8"/>
  <c r="M63" i="8"/>
  <c r="AM47" i="8" l="1"/>
  <c r="R48" i="8"/>
  <c r="Z47" i="8"/>
  <c r="AK48" i="8" l="1"/>
  <c r="AL48" i="8"/>
  <c r="S48" i="8"/>
  <c r="W48" i="8"/>
  <c r="AJ48" i="8" l="1"/>
  <c r="G48" i="8" l="1"/>
  <c r="M48" i="8" s="1"/>
  <c r="L49" i="8" s="1"/>
  <c r="F49" i="8" l="1"/>
  <c r="H49" i="8" s="1"/>
  <c r="I48" i="8"/>
  <c r="O48" i="8"/>
  <c r="N49" i="8" l="1"/>
  <c r="K48" i="8"/>
  <c r="J49" i="8" l="1"/>
  <c r="V48" i="8"/>
  <c r="U49" i="8" l="1"/>
  <c r="E48" i="8"/>
  <c r="T48" i="8" l="1"/>
  <c r="AM48" i="8" s="1"/>
  <c r="D49" i="8"/>
  <c r="R49" i="8" l="1"/>
  <c r="Z48" i="8"/>
  <c r="AK49" i="8" l="1"/>
  <c r="AL49" i="8"/>
  <c r="S49" i="8"/>
  <c r="W49" i="8"/>
  <c r="AJ49" i="8" l="1"/>
  <c r="G49" i="8" l="1"/>
  <c r="M49" i="8" s="1"/>
  <c r="L50" i="8" s="1"/>
  <c r="F50" i="8" l="1"/>
  <c r="H50" i="8" s="1"/>
  <c r="I49" i="8"/>
  <c r="O49" i="8"/>
  <c r="N50" i="8" l="1"/>
  <c r="K49" i="8"/>
  <c r="J50" i="8" l="1"/>
  <c r="V49" i="8"/>
  <c r="U50" i="8" l="1"/>
  <c r="E49" i="8"/>
  <c r="T49" i="8" l="1"/>
  <c r="AM49" i="8" s="1"/>
  <c r="D50" i="8"/>
  <c r="R50" i="8" l="1"/>
  <c r="Z49" i="8"/>
  <c r="AK50" i="8" l="1"/>
  <c r="AL50" i="8"/>
  <c r="S50" i="8"/>
  <c r="W50" i="8"/>
  <c r="AJ50" i="8" l="1"/>
  <c r="G50" i="8" l="1"/>
  <c r="M50" i="8" s="1"/>
  <c r="L51" i="8" s="1"/>
  <c r="F51" i="8" l="1"/>
  <c r="H51" i="8" s="1"/>
  <c r="I50" i="8"/>
  <c r="O50" i="8"/>
  <c r="N51" i="8" l="1"/>
  <c r="K50" i="8"/>
  <c r="J51" i="8" l="1"/>
  <c r="V50" i="8"/>
  <c r="U51" i="8" l="1"/>
  <c r="E50" i="8"/>
  <c r="T50" i="8" l="1"/>
  <c r="AM50" i="8" s="1"/>
  <c r="D51" i="8"/>
  <c r="R51" i="8" l="1"/>
  <c r="Z50" i="8"/>
  <c r="AK51" i="8" l="1"/>
  <c r="AL51" i="8"/>
  <c r="S51" i="8"/>
  <c r="W51" i="8"/>
  <c r="AJ51" i="8" l="1"/>
  <c r="G51" i="8" l="1"/>
  <c r="M51" i="8" s="1"/>
  <c r="L52" i="8" s="1"/>
  <c r="F52" i="8" l="1"/>
  <c r="H52" i="8" s="1"/>
  <c r="I51" i="8"/>
  <c r="O51" i="8"/>
  <c r="N52" i="8" l="1"/>
  <c r="K51" i="8"/>
  <c r="J52" i="8" l="1"/>
  <c r="V51" i="8"/>
  <c r="U52" i="8" l="1"/>
  <c r="E51" i="8"/>
  <c r="T51" i="8" l="1"/>
  <c r="AM51" i="8" s="1"/>
  <c r="D52" i="8"/>
  <c r="R52" i="8" l="1"/>
  <c r="Z51" i="8"/>
  <c r="AN52" i="8" l="1"/>
  <c r="AK52" i="8" s="1"/>
  <c r="S52" i="8"/>
  <c r="AJ52" i="8" s="1"/>
  <c r="W52" i="8"/>
  <c r="G52" i="8" l="1"/>
  <c r="I52" i="8" s="1"/>
  <c r="M52" i="8"/>
  <c r="L53" i="8" s="1"/>
  <c r="AL52" i="8"/>
  <c r="AN53" i="8"/>
  <c r="O52" i="8" l="1"/>
  <c r="N53" i="8" s="1"/>
  <c r="F53" i="8"/>
  <c r="H53" i="8" s="1"/>
  <c r="AN54" i="8"/>
  <c r="K52" i="8" l="1"/>
  <c r="J53" i="8" s="1"/>
  <c r="AN56" i="8"/>
  <c r="AN55" i="8"/>
  <c r="V52" i="8" l="1"/>
  <c r="U53" i="8" s="1"/>
  <c r="AB45" i="8"/>
  <c r="AB46" i="8" s="1"/>
  <c r="AB47" i="8" s="1"/>
  <c r="AB48" i="8" s="1"/>
  <c r="AB49" i="8" s="1"/>
  <c r="AB50" i="8" s="1"/>
  <c r="AB51" i="8" s="1"/>
  <c r="AB52" i="8" s="1"/>
  <c r="AB53" i="8" s="1"/>
  <c r="AB54" i="8" s="1"/>
  <c r="AB55" i="8" s="1"/>
  <c r="AB56" i="8" s="1"/>
  <c r="E52" i="8" l="1"/>
  <c r="T52" i="8" s="1"/>
  <c r="R53" i="8" s="1"/>
  <c r="AM52" i="8" l="1"/>
  <c r="D53" i="8"/>
  <c r="W53" i="8" s="1"/>
  <c r="Z52" i="8"/>
  <c r="AK53" i="8"/>
  <c r="AL53" i="8"/>
  <c r="S53" i="8"/>
  <c r="AJ53" i="8" l="1"/>
  <c r="M53" i="8" l="1"/>
  <c r="L54" i="8" s="1"/>
  <c r="G53" i="8"/>
  <c r="O53" i="8" s="1"/>
  <c r="N54" i="8" l="1"/>
  <c r="K53" i="8"/>
  <c r="J54" i="8" s="1"/>
  <c r="F54" i="8"/>
  <c r="H54" i="8" s="1"/>
  <c r="I53" i="8"/>
  <c r="V53" i="8" l="1"/>
  <c r="E53" i="8" s="1"/>
  <c r="U54" i="8" l="1"/>
  <c r="T53" i="8"/>
  <c r="D54" i="8"/>
  <c r="R54" i="8" l="1"/>
  <c r="Z53" i="8"/>
  <c r="AM53" i="8"/>
  <c r="AK54" i="8" l="1"/>
  <c r="AL54" i="8"/>
  <c r="S54" i="8"/>
  <c r="W54" i="8"/>
  <c r="AJ54" i="8" l="1"/>
  <c r="G54" i="8" l="1"/>
  <c r="M54" i="8" l="1"/>
  <c r="L55" i="8" s="1"/>
  <c r="F55" i="8"/>
  <c r="H55" i="8" s="1"/>
  <c r="I54" i="8"/>
  <c r="O54" i="8" l="1"/>
  <c r="N55" i="8" l="1"/>
  <c r="K54" i="8"/>
  <c r="J55" i="8" l="1"/>
  <c r="V54" i="8"/>
  <c r="U55" i="8" l="1"/>
  <c r="E54" i="8"/>
  <c r="T54" i="8" l="1"/>
  <c r="D55" i="8"/>
  <c r="AM54" i="8" l="1"/>
  <c r="R55" i="8"/>
  <c r="Z54" i="8"/>
  <c r="S55" i="8" l="1"/>
  <c r="AJ55" i="8" s="1"/>
  <c r="G55" i="8" s="1"/>
  <c r="AK55" i="8"/>
  <c r="AL55" i="8"/>
  <c r="W55" i="8"/>
  <c r="M55" i="8"/>
  <c r="L56" i="8" s="1"/>
  <c r="F56" i="8" l="1"/>
  <c r="H56" i="8" s="1"/>
  <c r="I55" i="8"/>
  <c r="O55" i="8"/>
  <c r="N56" i="8" l="1"/>
  <c r="K55" i="8"/>
  <c r="J56" i="8" l="1"/>
  <c r="V55" i="8"/>
  <c r="U56" i="8" l="1"/>
  <c r="E55" i="8"/>
  <c r="T55" i="8" l="1"/>
  <c r="AM55" i="8" s="1"/>
  <c r="D56" i="8"/>
  <c r="R56" i="8" l="1"/>
  <c r="Z55" i="8"/>
  <c r="AK56" i="8" l="1"/>
  <c r="AL56" i="8"/>
  <c r="S56" i="8"/>
  <c r="W56" i="8"/>
  <c r="AJ56" i="8" l="1"/>
  <c r="G56" i="8" l="1"/>
  <c r="M56" i="8" l="1"/>
  <c r="L57" i="8" s="1"/>
  <c r="F57" i="8"/>
  <c r="I56" i="8"/>
  <c r="O56" i="8" l="1"/>
  <c r="K56" i="8" l="1"/>
  <c r="N57" i="8"/>
  <c r="J57" i="8" l="1"/>
  <c r="V56" i="8"/>
  <c r="U57" i="8" l="1"/>
  <c r="E56" i="8"/>
  <c r="T56" i="8" l="1"/>
  <c r="AM56" i="8" s="1"/>
  <c r="D57" i="8"/>
  <c r="M57" i="8"/>
  <c r="L58" i="8" s="1"/>
  <c r="R57" i="8" l="1"/>
  <c r="S57" i="8" s="1"/>
  <c r="AJ57" i="8" s="1"/>
  <c r="Z56" i="8"/>
  <c r="AA57" i="8" s="1"/>
  <c r="AA58" i="8" s="1"/>
  <c r="AA59" i="8" s="1"/>
  <c r="AA60" i="8" s="1"/>
  <c r="AA61" i="8" s="1"/>
  <c r="AA62" i="8" s="1"/>
  <c r="AA63" i="8" s="1"/>
  <c r="AA64" i="8" s="1"/>
  <c r="AA65" i="8" s="1"/>
  <c r="AA66" i="8" s="1"/>
  <c r="AA67" i="8" s="1"/>
  <c r="AA68" i="8" s="1"/>
  <c r="AN57" i="8" l="1"/>
  <c r="AL57" i="8" s="1"/>
  <c r="G57" i="8"/>
  <c r="W57" i="8"/>
  <c r="AK57" i="8" l="1"/>
  <c r="F58" i="8"/>
  <c r="H58" i="8" s="1"/>
  <c r="I57" i="8"/>
  <c r="O57" i="8"/>
  <c r="AN58" i="8"/>
  <c r="AN59" i="8" l="1"/>
  <c r="N58" i="8"/>
  <c r="K57" i="8"/>
  <c r="J58" i="8" l="1"/>
  <c r="V57" i="8"/>
  <c r="AN60" i="8"/>
  <c r="E57" i="8" l="1"/>
  <c r="U58" i="8"/>
  <c r="AN61" i="8"/>
  <c r="AN63" i="8" l="1"/>
  <c r="AN62" i="8"/>
  <c r="D58" i="8"/>
  <c r="T57" i="8"/>
  <c r="AM57" i="8" l="1"/>
  <c r="R58" i="8"/>
  <c r="Z57" i="8"/>
  <c r="M58" i="8"/>
  <c r="L59" i="8" s="1"/>
  <c r="S58" i="8" l="1"/>
  <c r="AJ58" i="8" s="1"/>
  <c r="G58" i="8" s="1"/>
  <c r="F59" i="8" s="1"/>
  <c r="H59" i="8" s="1"/>
  <c r="AK58" i="8"/>
  <c r="AL58" i="8"/>
  <c r="W58" i="8"/>
  <c r="O58" i="8" l="1"/>
  <c r="K58" i="8" s="1"/>
  <c r="I58" i="8"/>
  <c r="N59" i="8" l="1"/>
  <c r="J59" i="8"/>
  <c r="V58" i="8"/>
  <c r="U59" i="8" l="1"/>
  <c r="E58" i="8"/>
  <c r="T58" i="8" l="1"/>
  <c r="AM58" i="8" s="1"/>
  <c r="D59" i="8"/>
  <c r="R59" i="8" l="1"/>
  <c r="Z58" i="8"/>
  <c r="AK59" i="8" l="1"/>
  <c r="AL59" i="8"/>
  <c r="S59" i="8"/>
  <c r="W59" i="8"/>
  <c r="AJ59" i="8" l="1"/>
  <c r="G59" i="8" l="1"/>
  <c r="M59" i="8" l="1"/>
  <c r="I59" i="8"/>
  <c r="F60" i="8" l="1"/>
  <c r="H60" i="8" s="1"/>
  <c r="L60" i="8"/>
  <c r="L61" i="8" s="1"/>
  <c r="L62" i="8" s="1"/>
  <c r="L63" i="8" s="1"/>
  <c r="L64" i="8" s="1"/>
  <c r="L65" i="8" s="1"/>
  <c r="L66" i="8" s="1"/>
  <c r="L67" i="8" s="1"/>
  <c r="L68" i="8" s="1"/>
  <c r="L69" i="8" s="1"/>
  <c r="L70" i="8" s="1"/>
  <c r="L71" i="8" s="1"/>
  <c r="L72" i="8" s="1"/>
  <c r="L73" i="8" s="1"/>
  <c r="L74" i="8" s="1"/>
  <c r="L75" i="8" s="1"/>
  <c r="L76" i="8" s="1"/>
  <c r="L77" i="8" s="1"/>
  <c r="L78" i="8" s="1"/>
  <c r="L79" i="8" s="1"/>
  <c r="L80" i="8" s="1"/>
  <c r="L81" i="8" s="1"/>
  <c r="L82" i="8" s="1"/>
  <c r="L83" i="8" s="1"/>
  <c r="L84" i="8" s="1"/>
  <c r="L85" i="8" s="1"/>
  <c r="L86" i="8" s="1"/>
  <c r="L87" i="8" s="1"/>
  <c r="L88" i="8" s="1"/>
  <c r="L89" i="8" s="1"/>
  <c r="L90" i="8" s="1"/>
  <c r="L91" i="8" s="1"/>
  <c r="L92" i="8" s="1"/>
  <c r="L93" i="8" s="1"/>
  <c r="L94" i="8" s="1"/>
  <c r="L95" i="8" s="1"/>
  <c r="L96" i="8" s="1"/>
  <c r="L97" i="8" s="1"/>
  <c r="L98" i="8" s="1"/>
  <c r="L99" i="8" s="1"/>
  <c r="L100" i="8" s="1"/>
  <c r="L101" i="8" s="1"/>
  <c r="L102" i="8" s="1"/>
  <c r="L103" i="8" s="1"/>
  <c r="L104" i="8" s="1"/>
  <c r="L105" i="8" s="1"/>
  <c r="L106" i="8" s="1"/>
  <c r="L107" i="8" s="1"/>
  <c r="L108" i="8" s="1"/>
  <c r="L109" i="8" s="1"/>
  <c r="L110" i="8" s="1"/>
  <c r="L111" i="8" s="1"/>
  <c r="L112" i="8" s="1"/>
  <c r="L113" i="8" s="1"/>
  <c r="L114" i="8" s="1"/>
  <c r="L115" i="8" s="1"/>
  <c r="L116" i="8" s="1"/>
  <c r="L117" i="8" s="1"/>
  <c r="L118" i="8" s="1"/>
  <c r="L119" i="8" s="1"/>
  <c r="L120" i="8" s="1"/>
  <c r="L121" i="8" s="1"/>
  <c r="L122" i="8" s="1"/>
  <c r="L123" i="8" s="1"/>
  <c r="L124" i="8" s="1"/>
  <c r="L125" i="8" s="1"/>
  <c r="L126" i="8" s="1"/>
  <c r="L127" i="8" s="1"/>
  <c r="L128" i="8" s="1"/>
  <c r="L129" i="8" s="1"/>
  <c r="L130" i="8" s="1"/>
  <c r="L131" i="8" s="1"/>
  <c r="L132" i="8" s="1"/>
  <c r="L133" i="8" s="1"/>
  <c r="L134" i="8" s="1"/>
  <c r="L135" i="8" s="1"/>
  <c r="L136" i="8" s="1"/>
  <c r="L137" i="8" s="1"/>
  <c r="L138" i="8" s="1"/>
  <c r="L139" i="8" s="1"/>
  <c r="L140" i="8" s="1"/>
  <c r="L141" i="8" s="1"/>
  <c r="L142" i="8" s="1"/>
  <c r="L143" i="8" s="1"/>
  <c r="L144" i="8" s="1"/>
  <c r="L145" i="8" s="1"/>
  <c r="L146" i="8" s="1"/>
  <c r="L147" i="8" s="1"/>
  <c r="L148" i="8" s="1"/>
  <c r="L149" i="8" s="1"/>
  <c r="L150" i="8" s="1"/>
  <c r="L151" i="8" s="1"/>
  <c r="L152" i="8" s="1"/>
  <c r="L153" i="8" s="1"/>
  <c r="L154" i="8" s="1"/>
  <c r="L155" i="8" s="1"/>
  <c r="L156" i="8" s="1"/>
  <c r="L157" i="8" s="1"/>
  <c r="L158" i="8" s="1"/>
  <c r="L159" i="8" s="1"/>
  <c r="L160" i="8" s="1"/>
  <c r="L161" i="8" s="1"/>
  <c r="L162" i="8" s="1"/>
  <c r="L163" i="8" s="1"/>
  <c r="L164" i="8" s="1"/>
  <c r="L165" i="8" s="1"/>
  <c r="L166" i="8" s="1"/>
  <c r="L167" i="8" s="1"/>
  <c r="L168" i="8" s="1"/>
  <c r="L169" i="8" s="1"/>
  <c r="L170" i="8" s="1"/>
  <c r="L171" i="8" s="1"/>
  <c r="L172" i="8" s="1"/>
  <c r="L173" i="8" s="1"/>
  <c r="L174" i="8" s="1"/>
  <c r="L175" i="8" s="1"/>
  <c r="L176" i="8" s="1"/>
  <c r="L177" i="8" s="1"/>
  <c r="L178" i="8" s="1"/>
  <c r="L179" i="8" s="1"/>
  <c r="L180" i="8" s="1"/>
  <c r="L181" i="8" s="1"/>
  <c r="L182" i="8" s="1"/>
  <c r="L183" i="8" s="1"/>
  <c r="L184" i="8" s="1"/>
  <c r="L185" i="8" s="1"/>
  <c r="L186" i="8" s="1"/>
  <c r="L187" i="8" s="1"/>
  <c r="L188" i="8" s="1"/>
  <c r="L189" i="8" s="1"/>
  <c r="L190" i="8" s="1"/>
  <c r="L191" i="8" s="1"/>
  <c r="L192" i="8" s="1"/>
  <c r="L193" i="8" s="1"/>
  <c r="L194" i="8" s="1"/>
  <c r="L195" i="8" s="1"/>
  <c r="L196" i="8" s="1"/>
  <c r="L197" i="8" s="1"/>
  <c r="L198" i="8" s="1"/>
  <c r="L199" i="8" s="1"/>
  <c r="L200" i="8" s="1"/>
  <c r="L201" i="8" s="1"/>
  <c r="L202" i="8" s="1"/>
  <c r="L203" i="8" s="1"/>
  <c r="L204" i="8" s="1"/>
  <c r="L205" i="8" s="1"/>
  <c r="L206" i="8" s="1"/>
  <c r="L207" i="8" s="1"/>
  <c r="L208" i="8" s="1"/>
  <c r="L209" i="8" s="1"/>
  <c r="L210" i="8" s="1"/>
  <c r="L211" i="8" s="1"/>
  <c r="L212" i="8" s="1"/>
  <c r="L213" i="8" s="1"/>
  <c r="L214" i="8" s="1"/>
  <c r="L215" i="8" s="1"/>
  <c r="L216" i="8" s="1"/>
  <c r="L217" i="8" s="1"/>
  <c r="L218" i="8" s="1"/>
  <c r="L219" i="8" s="1"/>
  <c r="L220" i="8" s="1"/>
  <c r="L221" i="8" s="1"/>
  <c r="L222" i="8" s="1"/>
  <c r="L223" i="8" s="1"/>
  <c r="L224" i="8" s="1"/>
  <c r="L225" i="8" s="1"/>
  <c r="L226" i="8" s="1"/>
  <c r="L227" i="8" s="1"/>
  <c r="L228" i="8" s="1"/>
  <c r="L229" i="8" s="1"/>
  <c r="L230" i="8" s="1"/>
  <c r="L231" i="8" s="1"/>
  <c r="L232" i="8" s="1"/>
  <c r="L233" i="8" s="1"/>
  <c r="L234" i="8" s="1"/>
  <c r="L235" i="8" s="1"/>
  <c r="L236" i="8" s="1"/>
  <c r="L237" i="8" s="1"/>
  <c r="L238" i="8" s="1"/>
  <c r="L239" i="8" s="1"/>
  <c r="L240" i="8" s="1"/>
  <c r="L241" i="8" s="1"/>
  <c r="L242" i="8" s="1"/>
  <c r="L243" i="8" s="1"/>
  <c r="L244" i="8" s="1"/>
  <c r="L245" i="8" s="1"/>
  <c r="L246" i="8" s="1"/>
  <c r="L247" i="8" s="1"/>
  <c r="L248" i="8" s="1"/>
  <c r="L249" i="8" s="1"/>
  <c r="L250" i="8" s="1"/>
  <c r="L251" i="8" s="1"/>
  <c r="L252" i="8" s="1"/>
  <c r="L253" i="8" s="1"/>
  <c r="L254" i="8" s="1"/>
  <c r="L255" i="8" s="1"/>
  <c r="L256" i="8" s="1"/>
  <c r="L257" i="8" s="1"/>
  <c r="L258" i="8" s="1"/>
  <c r="L259" i="8" s="1"/>
  <c r="L260" i="8" s="1"/>
  <c r="L261" i="8" s="1"/>
  <c r="L262" i="8" s="1"/>
  <c r="L263" i="8" s="1"/>
  <c r="L264" i="8" s="1"/>
  <c r="L265" i="8" s="1"/>
  <c r="L266" i="8" s="1"/>
  <c r="L267" i="8" s="1"/>
  <c r="L268" i="8" s="1"/>
  <c r="L269" i="8" s="1"/>
  <c r="L270" i="8" s="1"/>
  <c r="L271" i="8" s="1"/>
  <c r="L272" i="8" s="1"/>
  <c r="L273" i="8" s="1"/>
  <c r="L274" i="8" s="1"/>
  <c r="L275" i="8" s="1"/>
  <c r="L276" i="8" s="1"/>
  <c r="L277" i="8" s="1"/>
  <c r="L278" i="8" s="1"/>
  <c r="L279" i="8" s="1"/>
  <c r="L280" i="8" s="1"/>
  <c r="L281" i="8" s="1"/>
  <c r="L282" i="8" s="1"/>
  <c r="L283" i="8" s="1"/>
  <c r="L284" i="8" s="1"/>
  <c r="L285" i="8" s="1"/>
  <c r="L286" i="8" s="1"/>
  <c r="L287" i="8" s="1"/>
  <c r="L288" i="8" s="1"/>
  <c r="L289" i="8" s="1"/>
  <c r="L290" i="8" s="1"/>
  <c r="L291" i="8" s="1"/>
  <c r="L292" i="8" s="1"/>
  <c r="L293" i="8" s="1"/>
  <c r="L294" i="8" s="1"/>
  <c r="L295" i="8" s="1"/>
  <c r="L296" i="8" s="1"/>
  <c r="L297" i="8" s="1"/>
  <c r="L298" i="8" s="1"/>
  <c r="L299" i="8" s="1"/>
  <c r="L300" i="8" s="1"/>
  <c r="L301" i="8" s="1"/>
  <c r="L302" i="8" s="1"/>
  <c r="L303" i="8" s="1"/>
  <c r="L304" i="8" s="1"/>
  <c r="L305" i="8" s="1"/>
  <c r="L306" i="8" s="1"/>
  <c r="L307" i="8" s="1"/>
  <c r="L308" i="8" s="1"/>
  <c r="L309" i="8" s="1"/>
  <c r="L310" i="8" s="1"/>
  <c r="L311" i="8" s="1"/>
  <c r="L312" i="8" s="1"/>
  <c r="L313" i="8" s="1"/>
  <c r="L314" i="8" s="1"/>
  <c r="L315" i="8" s="1"/>
  <c r="L316" i="8" s="1"/>
  <c r="L317" i="8" s="1"/>
  <c r="L318" i="8" s="1"/>
  <c r="L319" i="8" s="1"/>
  <c r="L320" i="8" s="1"/>
  <c r="L321" i="8" s="1"/>
  <c r="L322" i="8" s="1"/>
  <c r="L323" i="8" s="1"/>
  <c r="L324" i="8" s="1"/>
  <c r="L325" i="8" s="1"/>
  <c r="L326" i="8" s="1"/>
  <c r="L327" i="8" s="1"/>
  <c r="L328" i="8" s="1"/>
  <c r="L329" i="8" s="1"/>
  <c r="L330" i="8" s="1"/>
  <c r="L331" i="8" s="1"/>
  <c r="L332" i="8" s="1"/>
  <c r="L333" i="8" s="1"/>
  <c r="L334" i="8" s="1"/>
  <c r="L335" i="8" s="1"/>
  <c r="L336" i="8" s="1"/>
  <c r="L337" i="8" s="1"/>
  <c r="L338" i="8" s="1"/>
  <c r="L339" i="8" s="1"/>
  <c r="L340" i="8" s="1"/>
  <c r="L341" i="8" s="1"/>
  <c r="L342" i="8" s="1"/>
  <c r="L343" i="8" s="1"/>
  <c r="L344" i="8" s="1"/>
  <c r="L345" i="8" s="1"/>
  <c r="L346" i="8" s="1"/>
  <c r="L347" i="8" s="1"/>
  <c r="L348" i="8" s="1"/>
  <c r="L349" i="8" s="1"/>
  <c r="L350" i="8" s="1"/>
  <c r="L351" i="8" s="1"/>
  <c r="L352" i="8" s="1"/>
  <c r="L353" i="8" s="1"/>
  <c r="L354" i="8" s="1"/>
  <c r="L355" i="8" s="1"/>
  <c r="L356" i="8" s="1"/>
  <c r="L357" i="8" s="1"/>
  <c r="L358" i="8" s="1"/>
  <c r="L359" i="8" s="1"/>
  <c r="L360" i="8" s="1"/>
  <c r="L361" i="8" s="1"/>
  <c r="L362" i="8" s="1"/>
  <c r="L363" i="8" s="1"/>
  <c r="L364" i="8" s="1"/>
  <c r="L365" i="8" s="1"/>
  <c r="L366" i="8" s="1"/>
  <c r="L367" i="8" s="1"/>
  <c r="L368" i="8" s="1"/>
  <c r="L369" i="8" s="1"/>
  <c r="L370" i="8" s="1"/>
  <c r="L371" i="8" s="1"/>
  <c r="L372" i="8" s="1"/>
  <c r="L373" i="8" s="1"/>
  <c r="L374" i="8" s="1"/>
  <c r="L375" i="8" s="1"/>
  <c r="L376" i="8" s="1"/>
  <c r="L377" i="8" s="1"/>
  <c r="L378" i="8" s="1"/>
  <c r="L379" i="8" s="1"/>
  <c r="L380" i="8" s="1"/>
  <c r="L381" i="8" s="1"/>
  <c r="L382" i="8" s="1"/>
  <c r="L383" i="8" s="1"/>
  <c r="L384" i="8" s="1"/>
  <c r="L385" i="8" s="1"/>
  <c r="L386" i="8" s="1"/>
  <c r="L387" i="8" s="1"/>
  <c r="L388" i="8" s="1"/>
  <c r="L389" i="8" s="1"/>
  <c r="L390" i="8" s="1"/>
  <c r="L391" i="8" s="1"/>
  <c r="L392" i="8" s="1"/>
  <c r="L393" i="8" s="1"/>
  <c r="L394" i="8" s="1"/>
  <c r="L395" i="8" s="1"/>
  <c r="L396" i="8" s="1"/>
  <c r="L397" i="8" s="1"/>
  <c r="L398" i="8" s="1"/>
  <c r="L399" i="8" s="1"/>
  <c r="L400" i="8" s="1"/>
  <c r="L401" i="8" s="1"/>
  <c r="L402" i="8" s="1"/>
  <c r="L403" i="8" s="1"/>
  <c r="L404" i="8" s="1"/>
  <c r="L405" i="8" s="1"/>
  <c r="L406" i="8" s="1"/>
  <c r="L407" i="8" s="1"/>
  <c r="L408" i="8" s="1"/>
  <c r="L409" i="8" s="1"/>
  <c r="L410" i="8" s="1"/>
  <c r="L411" i="8" s="1"/>
  <c r="L412" i="8" s="1"/>
  <c r="L413" i="8" s="1"/>
  <c r="L414" i="8" s="1"/>
  <c r="L415" i="8" s="1"/>
  <c r="L416" i="8" s="1"/>
  <c r="L417" i="8" s="1"/>
  <c r="L418" i="8" s="1"/>
  <c r="L419" i="8" s="1"/>
  <c r="L420" i="8" s="1"/>
  <c r="L421" i="8" s="1"/>
  <c r="L422" i="8" s="1"/>
  <c r="L423" i="8" s="1"/>
  <c r="L424" i="8" s="1"/>
  <c r="L425" i="8" s="1"/>
  <c r="L426" i="8" s="1"/>
  <c r="L427" i="8" s="1"/>
  <c r="L428" i="8" s="1"/>
  <c r="L429" i="8" s="1"/>
  <c r="L430" i="8" s="1"/>
  <c r="L431" i="8" s="1"/>
  <c r="L432" i="8" s="1"/>
  <c r="L433" i="8" s="1"/>
  <c r="L434" i="8" s="1"/>
  <c r="L435" i="8" s="1"/>
  <c r="L436" i="8" s="1"/>
  <c r="L437" i="8" s="1"/>
  <c r="L438" i="8" s="1"/>
  <c r="L439" i="8" s="1"/>
  <c r="L440" i="8" s="1"/>
  <c r="L441" i="8" s="1"/>
  <c r="L442" i="8" s="1"/>
  <c r="L443" i="8" s="1"/>
  <c r="L444" i="8" s="1"/>
  <c r="L445" i="8" s="1"/>
  <c r="L446" i="8" s="1"/>
  <c r="L447" i="8" s="1"/>
  <c r="L448" i="8" s="1"/>
  <c r="L449" i="8" s="1"/>
  <c r="L450" i="8" s="1"/>
  <c r="L451" i="8" s="1"/>
  <c r="L452" i="8" s="1"/>
  <c r="L453" i="8" s="1"/>
  <c r="L454" i="8" s="1"/>
  <c r="L455" i="8" s="1"/>
  <c r="L456" i="8" s="1"/>
  <c r="L457" i="8" s="1"/>
  <c r="L458" i="8" s="1"/>
  <c r="L459" i="8" s="1"/>
  <c r="L460" i="8" s="1"/>
  <c r="L461" i="8" s="1"/>
  <c r="L462" i="8" s="1"/>
  <c r="L463" i="8" s="1"/>
  <c r="L464" i="8" s="1"/>
  <c r="L465" i="8" s="1"/>
  <c r="L466" i="8" s="1"/>
  <c r="L467" i="8" s="1"/>
  <c r="L468" i="8" s="1"/>
  <c r="L469" i="8" s="1"/>
  <c r="L470" i="8" s="1"/>
  <c r="L471" i="8" s="1"/>
  <c r="L472" i="8" s="1"/>
  <c r="L473" i="8" s="1"/>
  <c r="L474" i="8" s="1"/>
  <c r="L475" i="8" s="1"/>
  <c r="L476" i="8" s="1"/>
  <c r="L477" i="8" s="1"/>
  <c r="L478" i="8" s="1"/>
  <c r="L479" i="8" s="1"/>
  <c r="L480" i="8" s="1"/>
  <c r="L481" i="8" s="1"/>
  <c r="L482" i="8" s="1"/>
  <c r="L483" i="8" s="1"/>
  <c r="L484" i="8" s="1"/>
  <c r="L485" i="8" s="1"/>
  <c r="L486" i="8" s="1"/>
  <c r="L487" i="8" s="1"/>
  <c r="L488" i="8" s="1"/>
  <c r="L489" i="8" s="1"/>
  <c r="L490" i="8" s="1"/>
  <c r="L491" i="8" s="1"/>
  <c r="L492" i="8" s="1"/>
  <c r="L493" i="8" s="1"/>
  <c r="L494" i="8" s="1"/>
  <c r="L495" i="8" s="1"/>
  <c r="L496" i="8" s="1"/>
  <c r="L497" i="8" s="1"/>
  <c r="L498" i="8" s="1"/>
  <c r="L499" i="8" s="1"/>
  <c r="L500" i="8" s="1"/>
  <c r="L501" i="8" s="1"/>
  <c r="L502" i="8" s="1"/>
  <c r="L503" i="8" s="1"/>
  <c r="L504" i="8" s="1"/>
  <c r="L505" i="8" s="1"/>
  <c r="O59" i="8"/>
  <c r="N60" i="8" l="1"/>
  <c r="K59" i="8"/>
  <c r="J60" i="8" l="1"/>
  <c r="V59" i="8"/>
  <c r="E59" i="8" l="1"/>
  <c r="U60" i="8"/>
  <c r="T59" i="8" l="1"/>
  <c r="D60" i="8"/>
  <c r="AM59" i="8" l="1"/>
  <c r="R60" i="8"/>
  <c r="Z59" i="8"/>
  <c r="W60" i="8" l="1"/>
  <c r="AK60" i="8"/>
  <c r="AL60" i="8"/>
  <c r="S60" i="8"/>
  <c r="AJ60" i="8" s="1"/>
  <c r="G60" i="8" s="1"/>
  <c r="O60" i="8" s="1"/>
  <c r="K60" i="8" s="1"/>
  <c r="V60" i="8" l="1"/>
  <c r="J61" i="8"/>
  <c r="N61" i="8"/>
  <c r="F61" i="8"/>
  <c r="H61" i="8" s="1"/>
  <c r="I60" i="8"/>
  <c r="U61" i="8" l="1"/>
  <c r="E60" i="8"/>
  <c r="T60" i="8" l="1"/>
  <c r="AM60" i="8" s="1"/>
  <c r="D61" i="8"/>
  <c r="R61" i="8" l="1"/>
  <c r="Z60" i="8"/>
  <c r="AK61" i="8" l="1"/>
  <c r="AL61" i="8"/>
  <c r="S61" i="8"/>
  <c r="W61" i="8"/>
  <c r="AJ61" i="8" l="1"/>
  <c r="G61" i="8" l="1"/>
  <c r="F62" i="8" l="1"/>
  <c r="H62" i="8" s="1"/>
  <c r="I61" i="8"/>
  <c r="O61" i="8"/>
  <c r="N62" i="8" l="1"/>
  <c r="K61" i="8"/>
  <c r="J62" i="8" l="1"/>
  <c r="V61" i="8"/>
  <c r="U62" i="8" l="1"/>
  <c r="E61" i="8"/>
  <c r="T61" i="8" l="1"/>
  <c r="AM61" i="8" s="1"/>
  <c r="D62" i="8"/>
  <c r="R62" i="8" l="1"/>
  <c r="Z61" i="8"/>
  <c r="AK62" i="8" l="1"/>
  <c r="AL62" i="8"/>
  <c r="S62" i="8"/>
  <c r="W62" i="8"/>
  <c r="AJ62" i="8" l="1"/>
  <c r="G62" i="8" l="1"/>
  <c r="F63" i="8" l="1"/>
  <c r="H63" i="8" s="1"/>
  <c r="I62" i="8"/>
  <c r="O62" i="8"/>
  <c r="N63" i="8" l="1"/>
  <c r="K62" i="8"/>
  <c r="J63" i="8" l="1"/>
  <c r="V62" i="8"/>
  <c r="U63" i="8" l="1"/>
  <c r="E62" i="8"/>
  <c r="T62" i="8" l="1"/>
  <c r="AM62" i="8" s="1"/>
  <c r="D63" i="8"/>
  <c r="R63" i="8" l="1"/>
  <c r="Z62" i="8"/>
  <c r="AK63" i="8" l="1"/>
  <c r="AL63" i="8"/>
  <c r="S63" i="8"/>
  <c r="W63" i="8"/>
  <c r="AJ63" i="8" l="1"/>
  <c r="G63" i="8" l="1"/>
  <c r="F64" i="8" l="1"/>
  <c r="H64" i="8" s="1"/>
  <c r="I63" i="8"/>
  <c r="O63" i="8"/>
  <c r="N64" i="8" l="1"/>
  <c r="K63" i="8"/>
  <c r="J64" i="8" l="1"/>
  <c r="V63" i="8"/>
  <c r="U64" i="8" l="1"/>
  <c r="E63" i="8"/>
  <c r="T63" i="8" l="1"/>
  <c r="AM63" i="8" s="1"/>
  <c r="D64" i="8"/>
  <c r="R64" i="8" l="1"/>
  <c r="Z63" i="8"/>
  <c r="S64" i="8" l="1"/>
  <c r="AJ64" i="8" s="1"/>
  <c r="G64" i="8" s="1"/>
  <c r="AN64" i="8"/>
  <c r="AK64" i="8" s="1"/>
  <c r="W64" i="8"/>
  <c r="O64" i="8" l="1"/>
  <c r="N65" i="8" s="1"/>
  <c r="AL64" i="8"/>
  <c r="AN65" i="8"/>
  <c r="I64" i="8"/>
  <c r="F65" i="8"/>
  <c r="H65" i="8" s="1"/>
  <c r="K64" i="8" l="1"/>
  <c r="J65" i="8" s="1"/>
  <c r="AN66" i="8"/>
  <c r="V64" i="8" l="1"/>
  <c r="U65" i="8" s="1"/>
  <c r="AN67" i="8"/>
  <c r="E64" i="8" l="1"/>
  <c r="T64" i="8" s="1"/>
  <c r="AN68" i="8"/>
  <c r="AB57" i="8"/>
  <c r="AB58" i="8" s="1"/>
  <c r="AB59" i="8" s="1"/>
  <c r="AB60" i="8" s="1"/>
  <c r="AB61" i="8" s="1"/>
  <c r="AB62" i="8" s="1"/>
  <c r="AB63" i="8" s="1"/>
  <c r="AB64" i="8" s="1"/>
  <c r="AB65" i="8" s="1"/>
  <c r="AB66" i="8" s="1"/>
  <c r="AB67" i="8" s="1"/>
  <c r="AB68" i="8" s="1"/>
  <c r="D65" i="8" l="1"/>
  <c r="R65" i="8"/>
  <c r="Z64" i="8"/>
  <c r="AM64" i="8"/>
  <c r="AK65" i="8" l="1"/>
  <c r="AL65" i="8"/>
  <c r="S65" i="8"/>
  <c r="AJ65" i="8" s="1"/>
  <c r="G65" i="8" s="1"/>
  <c r="O65" i="8" s="1"/>
  <c r="W65" i="8"/>
  <c r="N66" i="8" l="1"/>
  <c r="K65" i="8"/>
  <c r="J66" i="8" s="1"/>
  <c r="F66" i="8"/>
  <c r="H66" i="8" s="1"/>
  <c r="I65" i="8"/>
  <c r="V65" i="8" l="1"/>
  <c r="U66" i="8" s="1"/>
  <c r="E65" i="8" l="1"/>
  <c r="T65" i="8" s="1"/>
  <c r="AM65" i="8" s="1"/>
  <c r="D66" i="8" l="1"/>
  <c r="R66" i="8"/>
  <c r="Z65" i="8"/>
  <c r="AK66" i="8" l="1"/>
  <c r="AL66" i="8"/>
  <c r="S66" i="8"/>
  <c r="W66" i="8"/>
  <c r="AJ66" i="8" l="1"/>
  <c r="G66" i="8" l="1"/>
  <c r="F67" i="8" l="1"/>
  <c r="H67" i="8" s="1"/>
  <c r="I66" i="8"/>
  <c r="O66" i="8"/>
  <c r="N67" i="8" l="1"/>
  <c r="K66" i="8"/>
  <c r="J67" i="8" l="1"/>
  <c r="V66" i="8"/>
  <c r="U67" i="8" l="1"/>
  <c r="E66" i="8"/>
  <c r="T66" i="8" l="1"/>
  <c r="AM66" i="8" s="1"/>
  <c r="D67" i="8"/>
  <c r="R67" i="8" l="1"/>
  <c r="Z66" i="8"/>
  <c r="AK67" i="8" l="1"/>
  <c r="AL67" i="8"/>
  <c r="S67" i="8"/>
  <c r="W67" i="8"/>
  <c r="AJ67" i="8" l="1"/>
  <c r="G67" i="8" l="1"/>
  <c r="O67" i="8" s="1"/>
  <c r="N68" i="8" l="1"/>
  <c r="K67" i="8"/>
  <c r="J68" i="8" s="1"/>
  <c r="F68" i="8"/>
  <c r="H68" i="8" s="1"/>
  <c r="I67" i="8"/>
  <c r="V67" i="8" l="1"/>
  <c r="U68" i="8" s="1"/>
  <c r="E67" i="8" l="1"/>
  <c r="T67" i="8" s="1"/>
  <c r="D68" i="8" l="1"/>
  <c r="R68" i="8"/>
  <c r="Z67" i="8"/>
  <c r="AM67" i="8"/>
  <c r="AK68" i="8" l="1"/>
  <c r="AL68" i="8"/>
  <c r="S68" i="8"/>
  <c r="W68" i="8"/>
  <c r="AJ68" i="8" l="1"/>
  <c r="G68" i="8" l="1"/>
  <c r="F69" i="8" l="1"/>
  <c r="I68" i="8"/>
  <c r="O68" i="8"/>
  <c r="N69" i="8" l="1"/>
  <c r="K68" i="8"/>
  <c r="J69" i="8" l="1"/>
  <c r="V68" i="8"/>
  <c r="U69" i="8" l="1"/>
  <c r="E68" i="8"/>
  <c r="T68" i="8" l="1"/>
  <c r="AM68" i="8" s="1"/>
  <c r="D69" i="8"/>
  <c r="R69" i="8" l="1"/>
  <c r="Z68" i="8"/>
  <c r="AA69" i="8" s="1"/>
  <c r="AA70" i="8" s="1"/>
  <c r="AA71" i="8" s="1"/>
  <c r="AA72" i="8" s="1"/>
  <c r="AA73" i="8" s="1"/>
  <c r="AA74" i="8" s="1"/>
  <c r="AA75" i="8" s="1"/>
  <c r="AA76" i="8" s="1"/>
  <c r="AA77" i="8" s="1"/>
  <c r="AA78" i="8" s="1"/>
  <c r="AA79" i="8" s="1"/>
  <c r="AA80" i="8" s="1"/>
  <c r="S69" i="8" l="1"/>
  <c r="AJ69" i="8" s="1"/>
  <c r="W69" i="8"/>
  <c r="G69" i="8" l="1"/>
  <c r="I69" i="8" s="1"/>
  <c r="AN69" i="8"/>
  <c r="F70" i="8" l="1"/>
  <c r="H70" i="8" s="1"/>
  <c r="O69" i="8"/>
  <c r="N70" i="8" s="1"/>
  <c r="AK69" i="8"/>
  <c r="AL69" i="8"/>
  <c r="AN70" i="8"/>
  <c r="K69" i="8" l="1"/>
  <c r="J70" i="8" s="1"/>
  <c r="AN71" i="8"/>
  <c r="V69" i="8" l="1"/>
  <c r="U70" i="8" s="1"/>
  <c r="AN72" i="8"/>
  <c r="E69" i="8" l="1"/>
  <c r="T69" i="8" s="1"/>
  <c r="AM69" i="8" s="1"/>
  <c r="AN73" i="8"/>
  <c r="D70" i="8" l="1"/>
  <c r="AN74" i="8"/>
  <c r="R70" i="8"/>
  <c r="Z69" i="8"/>
  <c r="AK70" i="8" l="1"/>
  <c r="AL70" i="8"/>
  <c r="AN75" i="8"/>
  <c r="S70" i="8"/>
  <c r="W70" i="8"/>
  <c r="AJ70" i="8" l="1"/>
  <c r="G70" i="8" l="1"/>
  <c r="O70" i="8" s="1"/>
  <c r="N71" i="8" l="1"/>
  <c r="F71" i="8"/>
  <c r="H71" i="8" s="1"/>
  <c r="I70" i="8"/>
  <c r="K70" i="8"/>
  <c r="J71" i="8" s="1"/>
  <c r="V70" i="8" l="1"/>
  <c r="U71" i="8" l="1"/>
  <c r="E70" i="8"/>
  <c r="T70" i="8" l="1"/>
  <c r="AM70" i="8" s="1"/>
  <c r="D71" i="8"/>
  <c r="R71" i="8" l="1"/>
  <c r="Z70" i="8"/>
  <c r="AK71" i="8" l="1"/>
  <c r="AL71" i="8"/>
  <c r="S71" i="8"/>
  <c r="W71" i="8"/>
  <c r="AJ71" i="8" l="1"/>
  <c r="G71" i="8" l="1"/>
  <c r="O71" i="8" s="1"/>
  <c r="N72" i="8" l="1"/>
  <c r="K71" i="8"/>
  <c r="J72" i="8" s="1"/>
  <c r="F72" i="8"/>
  <c r="H72" i="8" s="1"/>
  <c r="I71" i="8"/>
  <c r="V71" i="8" l="1"/>
  <c r="U72" i="8" s="1"/>
  <c r="E71" i="8" l="1"/>
  <c r="T71" i="8" s="1"/>
  <c r="AM71" i="8" s="1"/>
  <c r="D72" i="8" l="1"/>
  <c r="R72" i="8"/>
  <c r="Z71" i="8"/>
  <c r="AK72" i="8" l="1"/>
  <c r="AL72" i="8"/>
  <c r="S72" i="8"/>
  <c r="W72" i="8"/>
  <c r="AJ72" i="8" l="1"/>
  <c r="G72" i="8" l="1"/>
  <c r="F73" i="8" l="1"/>
  <c r="H73" i="8" s="1"/>
  <c r="I72" i="8"/>
  <c r="O72" i="8"/>
  <c r="N73" i="8" l="1"/>
  <c r="K72" i="8"/>
  <c r="J73" i="8" l="1"/>
  <c r="V72" i="8"/>
  <c r="U73" i="8" l="1"/>
  <c r="E72" i="8"/>
  <c r="T72" i="8" l="1"/>
  <c r="AM72" i="8" s="1"/>
  <c r="D73" i="8"/>
  <c r="R73" i="8" l="1"/>
  <c r="Z72" i="8"/>
  <c r="AK73" i="8" l="1"/>
  <c r="AL73" i="8"/>
  <c r="S73" i="8"/>
  <c r="W73" i="8"/>
  <c r="AJ73" i="8" l="1"/>
  <c r="G73" i="8" l="1"/>
  <c r="F74" i="8" l="1"/>
  <c r="H74" i="8" s="1"/>
  <c r="I73" i="8"/>
  <c r="O73" i="8"/>
  <c r="N74" i="8" l="1"/>
  <c r="K73" i="8"/>
  <c r="J74" i="8" l="1"/>
  <c r="V73" i="8"/>
  <c r="U74" i="8" l="1"/>
  <c r="E73" i="8"/>
  <c r="T73" i="8" l="1"/>
  <c r="AM73" i="8" s="1"/>
  <c r="D74" i="8"/>
  <c r="R74" i="8" l="1"/>
  <c r="Z73" i="8"/>
  <c r="AK74" i="8" l="1"/>
  <c r="AL74" i="8"/>
  <c r="S74" i="8"/>
  <c r="W74" i="8"/>
  <c r="AJ74" i="8" l="1"/>
  <c r="G74" i="8" l="1"/>
  <c r="O74" i="8" s="1"/>
  <c r="N75" i="8" l="1"/>
  <c r="K74" i="8"/>
  <c r="I74" i="8"/>
  <c r="F75" i="8"/>
  <c r="H75" i="8" s="1"/>
  <c r="J75" i="8" l="1"/>
  <c r="V74" i="8"/>
  <c r="U75" i="8" l="1"/>
  <c r="E74" i="8"/>
  <c r="T74" i="8" l="1"/>
  <c r="AM74" i="8" s="1"/>
  <c r="D75" i="8"/>
  <c r="R75" i="8" l="1"/>
  <c r="Z74" i="8"/>
  <c r="AK75" i="8" l="1"/>
  <c r="AL75" i="8"/>
  <c r="S75" i="8"/>
  <c r="W75" i="8"/>
  <c r="AJ75" i="8" l="1"/>
  <c r="G75" i="8" l="1"/>
  <c r="F76" i="8" l="1"/>
  <c r="H76" i="8" s="1"/>
  <c r="I75" i="8"/>
  <c r="O75" i="8"/>
  <c r="N76" i="8" l="1"/>
  <c r="K75" i="8"/>
  <c r="J76" i="8" l="1"/>
  <c r="V75" i="8"/>
  <c r="U76" i="8" l="1"/>
  <c r="E75" i="8"/>
  <c r="T75" i="8" l="1"/>
  <c r="AM75" i="8" s="1"/>
  <c r="D76" i="8"/>
  <c r="R76" i="8" l="1"/>
  <c r="Z75" i="8"/>
  <c r="S76" i="8" l="1"/>
  <c r="AJ76" i="8" s="1"/>
  <c r="G76" i="8" s="1"/>
  <c r="O76" i="8" s="1"/>
  <c r="N77" i="8" s="1"/>
  <c r="AN76" i="8"/>
  <c r="AK76" i="8" s="1"/>
  <c r="W76" i="8"/>
  <c r="AL76" i="8" l="1"/>
  <c r="K76" i="8"/>
  <c r="I76" i="8"/>
  <c r="F77" i="8"/>
  <c r="H77" i="8" s="1"/>
  <c r="AN77" i="8"/>
  <c r="AN78" i="8" l="1"/>
  <c r="J77" i="8"/>
  <c r="V76" i="8"/>
  <c r="U77" i="8" l="1"/>
  <c r="E76" i="8"/>
  <c r="AN79" i="8"/>
  <c r="T76" i="8" l="1"/>
  <c r="AM76" i="8" s="1"/>
  <c r="D77" i="8"/>
  <c r="AN80" i="8"/>
  <c r="AB69" i="8"/>
  <c r="AB70" i="8" s="1"/>
  <c r="AB71" i="8" s="1"/>
  <c r="AB72" i="8" s="1"/>
  <c r="AB73" i="8" s="1"/>
  <c r="AB74" i="8" s="1"/>
  <c r="AB75" i="8" s="1"/>
  <c r="AB76" i="8" s="1"/>
  <c r="AB77" i="8" s="1"/>
  <c r="AB78" i="8" s="1"/>
  <c r="AB79" i="8" s="1"/>
  <c r="AB80" i="8" s="1"/>
  <c r="R77" i="8" l="1"/>
  <c r="Z76" i="8"/>
  <c r="AK77" i="8" l="1"/>
  <c r="AL77" i="8"/>
  <c r="S77" i="8"/>
  <c r="W77" i="8"/>
  <c r="AJ77" i="8" l="1"/>
  <c r="G77" i="8" l="1"/>
  <c r="O77" i="8" s="1"/>
  <c r="N78" i="8" l="1"/>
  <c r="K77" i="8"/>
  <c r="J78" i="8" s="1"/>
  <c r="F78" i="8"/>
  <c r="H78" i="8" s="1"/>
  <c r="I77" i="8"/>
  <c r="V77" i="8" l="1"/>
  <c r="U78" i="8" l="1"/>
  <c r="E77" i="8"/>
  <c r="T77" i="8" l="1"/>
  <c r="AM77" i="8" s="1"/>
  <c r="D78" i="8"/>
  <c r="R78" i="8" l="1"/>
  <c r="Z77" i="8"/>
  <c r="AK78" i="8" l="1"/>
  <c r="AL78" i="8"/>
  <c r="S78" i="8"/>
  <c r="W78" i="8"/>
  <c r="AJ78" i="8" l="1"/>
  <c r="G78" i="8" l="1"/>
  <c r="O78" i="8" s="1"/>
  <c r="N79" i="8" l="1"/>
  <c r="F79" i="8"/>
  <c r="H79" i="8" s="1"/>
  <c r="I78" i="8"/>
  <c r="K78" i="8"/>
  <c r="J79" i="8" l="1"/>
  <c r="V78" i="8"/>
  <c r="U79" i="8" l="1"/>
  <c r="E78" i="8"/>
  <c r="T78" i="8" l="1"/>
  <c r="AM78" i="8" s="1"/>
  <c r="D79" i="8"/>
  <c r="R79" i="8" l="1"/>
  <c r="Z78" i="8"/>
  <c r="AK79" i="8" l="1"/>
  <c r="AL79" i="8"/>
  <c r="S79" i="8"/>
  <c r="W79" i="8"/>
  <c r="AJ79" i="8" l="1"/>
  <c r="G79" i="8" l="1"/>
  <c r="O79" i="8" s="1"/>
  <c r="N80" i="8" l="1"/>
  <c r="K79" i="8"/>
  <c r="J80" i="8" s="1"/>
  <c r="F80" i="8"/>
  <c r="H80" i="8" s="1"/>
  <c r="I79" i="8"/>
  <c r="V79" i="8" l="1"/>
  <c r="U80" i="8" s="1"/>
  <c r="E79" i="8" l="1"/>
  <c r="T79" i="8" s="1"/>
  <c r="AM79" i="8" s="1"/>
  <c r="D80" i="8" l="1"/>
  <c r="R80" i="8"/>
  <c r="Z79" i="8"/>
  <c r="AK80" i="8" l="1"/>
  <c r="AL80" i="8"/>
  <c r="S80" i="8"/>
  <c r="W80" i="8"/>
  <c r="AJ80" i="8" l="1"/>
  <c r="G80" i="8" l="1"/>
  <c r="O80" i="8" s="1"/>
  <c r="N81" i="8" l="1"/>
  <c r="K80" i="8"/>
  <c r="J81" i="8" s="1"/>
  <c r="F81" i="8"/>
  <c r="I80" i="8"/>
  <c r="V80" i="8" l="1"/>
  <c r="U81" i="8" s="1"/>
  <c r="E80" i="8" l="1"/>
  <c r="T80" i="8" s="1"/>
  <c r="D81" i="8" l="1"/>
  <c r="R81" i="8"/>
  <c r="AM80" i="8"/>
  <c r="Z80" i="8"/>
  <c r="AA81" i="8" s="1"/>
  <c r="AA82" i="8" s="1"/>
  <c r="AA83" i="8" s="1"/>
  <c r="AA84" i="8" s="1"/>
  <c r="AA85" i="8" s="1"/>
  <c r="AA86" i="8" s="1"/>
  <c r="AA87" i="8" s="1"/>
  <c r="AA88" i="8" s="1"/>
  <c r="AA89" i="8" s="1"/>
  <c r="AA90" i="8" s="1"/>
  <c r="AA91" i="8" s="1"/>
  <c r="AA92" i="8" s="1"/>
  <c r="S81" i="8" l="1"/>
  <c r="AJ81" i="8" s="1"/>
  <c r="W81" i="8"/>
  <c r="AN81" i="8" l="1"/>
  <c r="G81" i="8"/>
  <c r="O81" i="8" s="1"/>
  <c r="AK81" i="8" l="1"/>
  <c r="AL81" i="8"/>
  <c r="N82" i="8"/>
  <c r="K81" i="8"/>
  <c r="J82" i="8" s="1"/>
  <c r="F82" i="8"/>
  <c r="H82" i="8" s="1"/>
  <c r="I81" i="8"/>
  <c r="AN82" i="8"/>
  <c r="V81" i="8" l="1"/>
  <c r="U82" i="8" s="1"/>
  <c r="AN83" i="8"/>
  <c r="E81" i="8" l="1"/>
  <c r="T81" i="8" s="1"/>
  <c r="AM81" i="8" s="1"/>
  <c r="AN84" i="8"/>
  <c r="D82" i="8" l="1"/>
  <c r="AN85" i="8"/>
  <c r="R82" i="8"/>
  <c r="Z81" i="8"/>
  <c r="AK82" i="8" l="1"/>
  <c r="AL82" i="8"/>
  <c r="S82" i="8"/>
  <c r="AN87" i="8"/>
  <c r="AN86" i="8"/>
  <c r="W82" i="8"/>
  <c r="AJ82" i="8" l="1"/>
  <c r="G82" i="8" l="1"/>
  <c r="O82" i="8" s="1"/>
  <c r="N83" i="8" l="1"/>
  <c r="K82" i="8"/>
  <c r="J83" i="8" s="1"/>
  <c r="F83" i="8"/>
  <c r="H83" i="8" s="1"/>
  <c r="I82" i="8"/>
  <c r="V82" i="8" l="1"/>
  <c r="U83" i="8" l="1"/>
  <c r="E82" i="8"/>
  <c r="T82" i="8" l="1"/>
  <c r="AM82" i="8" s="1"/>
  <c r="D83" i="8"/>
  <c r="R83" i="8" l="1"/>
  <c r="Z82" i="8"/>
  <c r="AK83" i="8" l="1"/>
  <c r="AL83" i="8"/>
  <c r="S83" i="8"/>
  <c r="W83" i="8"/>
  <c r="AJ83" i="8" l="1"/>
  <c r="G83" i="8" l="1"/>
  <c r="O83" i="8" s="1"/>
  <c r="N84" i="8" l="1"/>
  <c r="K83" i="8"/>
  <c r="F84" i="8"/>
  <c r="H84" i="8" s="1"/>
  <c r="I83" i="8"/>
  <c r="J84" i="8" l="1"/>
  <c r="V83" i="8"/>
  <c r="U84" i="8" l="1"/>
  <c r="E83" i="8"/>
  <c r="T83" i="8" l="1"/>
  <c r="AM83" i="8" s="1"/>
  <c r="D84" i="8"/>
  <c r="R84" i="8" l="1"/>
  <c r="Z83" i="8"/>
  <c r="AK84" i="8" l="1"/>
  <c r="AL84" i="8"/>
  <c r="S84" i="8"/>
  <c r="W84" i="8"/>
  <c r="AJ84" i="8" l="1"/>
  <c r="G84" i="8" l="1"/>
  <c r="O84" i="8" s="1"/>
  <c r="N85" i="8" l="1"/>
  <c r="K84" i="8"/>
  <c r="J85" i="8" s="1"/>
  <c r="F85" i="8"/>
  <c r="H85" i="8" s="1"/>
  <c r="I84" i="8"/>
  <c r="V84" i="8" l="1"/>
  <c r="U85" i="8" l="1"/>
  <c r="E84" i="8"/>
  <c r="T84" i="8" l="1"/>
  <c r="AM84" i="8" s="1"/>
  <c r="D85" i="8"/>
  <c r="R85" i="8" l="1"/>
  <c r="Z84" i="8"/>
  <c r="AK85" i="8" l="1"/>
  <c r="AL85" i="8"/>
  <c r="S85" i="8"/>
  <c r="W85" i="8"/>
  <c r="AJ85" i="8" l="1"/>
  <c r="G85" i="8" l="1"/>
  <c r="O85" i="8" l="1"/>
  <c r="F86" i="8"/>
  <c r="H86" i="8" s="1"/>
  <c r="I85" i="8"/>
  <c r="N86" i="8" l="1"/>
  <c r="K85" i="8"/>
  <c r="J86" i="8" l="1"/>
  <c r="V85" i="8"/>
  <c r="U86" i="8" l="1"/>
  <c r="E57" i="7" s="1"/>
  <c r="E85" i="8"/>
  <c r="T85" i="8" l="1"/>
  <c r="AM85" i="8" s="1"/>
  <c r="D86" i="8"/>
  <c r="R86" i="8" l="1"/>
  <c r="Z85" i="8"/>
  <c r="AK86" i="8" l="1"/>
  <c r="AL86" i="8"/>
  <c r="S86" i="8"/>
  <c r="W86" i="8"/>
  <c r="AJ86" i="8" l="1"/>
  <c r="G86" i="8" l="1"/>
  <c r="O86" i="8" s="1"/>
  <c r="N87" i="8" l="1"/>
  <c r="K86" i="8"/>
  <c r="I86" i="8"/>
  <c r="F87" i="8"/>
  <c r="H87" i="8" s="1"/>
  <c r="J87" i="8" l="1"/>
  <c r="V86" i="8"/>
  <c r="U87" i="8" l="1"/>
  <c r="E86" i="8"/>
  <c r="E55" i="7" s="1"/>
  <c r="T86" i="8" l="1"/>
  <c r="AM86" i="8" s="1"/>
  <c r="D87" i="8"/>
  <c r="R87" i="8" l="1"/>
  <c r="Z86" i="8"/>
  <c r="AK87" i="8" l="1"/>
  <c r="AL87" i="8"/>
  <c r="S87" i="8"/>
  <c r="W87" i="8"/>
  <c r="AJ87" i="8" l="1"/>
  <c r="G87" i="8" l="1"/>
  <c r="F88" i="8" l="1"/>
  <c r="H88" i="8" s="1"/>
  <c r="I87" i="8"/>
  <c r="O87" i="8"/>
  <c r="N88" i="8" l="1"/>
  <c r="K87" i="8"/>
  <c r="J88" i="8" l="1"/>
  <c r="V87" i="8"/>
  <c r="U88" i="8" l="1"/>
  <c r="E87" i="8"/>
  <c r="T87" i="8" l="1"/>
  <c r="AM87" i="8" s="1"/>
  <c r="D88" i="8"/>
  <c r="R88" i="8" l="1"/>
  <c r="Z87" i="8"/>
  <c r="S88" i="8" l="1"/>
  <c r="AJ88" i="8" s="1"/>
  <c r="G88" i="8" s="1"/>
  <c r="O88" i="8" s="1"/>
  <c r="N89" i="8" s="1"/>
  <c r="AN88" i="8"/>
  <c r="AK88" i="8" s="1"/>
  <c r="W88" i="8"/>
  <c r="AL88" i="8" l="1"/>
  <c r="K88" i="8"/>
  <c r="J89" i="8" s="1"/>
  <c r="I88" i="8"/>
  <c r="F89" i="8"/>
  <c r="H89" i="8" s="1"/>
  <c r="AN89" i="8"/>
  <c r="V88" i="8" l="1"/>
  <c r="E88" i="8" s="1"/>
  <c r="AN90" i="8"/>
  <c r="U89" i="8" l="1"/>
  <c r="AN91" i="8"/>
  <c r="T88" i="8"/>
  <c r="D89" i="8"/>
  <c r="AN92" i="8" l="1"/>
  <c r="AB81" i="8"/>
  <c r="AB82" i="8" s="1"/>
  <c r="AB83" i="8" s="1"/>
  <c r="AB84" i="8" s="1"/>
  <c r="AB85" i="8" s="1"/>
  <c r="AB86" i="8" s="1"/>
  <c r="AB87" i="8" s="1"/>
  <c r="AB88" i="8" s="1"/>
  <c r="AB89" i="8" s="1"/>
  <c r="AB90" i="8" s="1"/>
  <c r="AB91" i="8" s="1"/>
  <c r="AB92" i="8" s="1"/>
  <c r="R89" i="8"/>
  <c r="Z88" i="8"/>
  <c r="AM88" i="8"/>
  <c r="AK89" i="8" l="1"/>
  <c r="AL89" i="8"/>
  <c r="S89" i="8"/>
  <c r="W89" i="8"/>
  <c r="AJ89" i="8" l="1"/>
  <c r="G89" i="8" l="1"/>
  <c r="O89" i="8" s="1"/>
  <c r="N90" i="8" l="1"/>
  <c r="K89" i="8"/>
  <c r="J90" i="8" s="1"/>
  <c r="F90" i="8"/>
  <c r="H90" i="8" s="1"/>
  <c r="I89" i="8"/>
  <c r="V89" i="8" l="1"/>
  <c r="U90" i="8" s="1"/>
  <c r="E89" i="8" l="1"/>
  <c r="T89" i="8" s="1"/>
  <c r="AM89" i="8" s="1"/>
  <c r="D90" i="8" l="1"/>
  <c r="R90" i="8"/>
  <c r="Z89" i="8"/>
  <c r="AK90" i="8" l="1"/>
  <c r="AL90" i="8"/>
  <c r="S90" i="8"/>
  <c r="W90" i="8"/>
  <c r="AJ90" i="8" l="1"/>
  <c r="G90" i="8" l="1"/>
  <c r="F91" i="8" l="1"/>
  <c r="H91" i="8" s="1"/>
  <c r="I90" i="8"/>
  <c r="O90" i="8"/>
  <c r="N91" i="8" l="1"/>
  <c r="K90" i="8"/>
  <c r="J91" i="8" l="1"/>
  <c r="V90" i="8"/>
  <c r="U91" i="8" l="1"/>
  <c r="E90" i="8"/>
  <c r="T90" i="8" l="1"/>
  <c r="AM90" i="8" s="1"/>
  <c r="D91" i="8"/>
  <c r="R91" i="8" l="1"/>
  <c r="Z90" i="8"/>
  <c r="AK91" i="8" l="1"/>
  <c r="AL91" i="8"/>
  <c r="S91" i="8"/>
  <c r="W91" i="8"/>
  <c r="AJ91" i="8" l="1"/>
  <c r="G91" i="8" l="1"/>
  <c r="O91" i="8" s="1"/>
  <c r="N92" i="8" l="1"/>
  <c r="K91" i="8"/>
  <c r="J92" i="8" s="1"/>
  <c r="F92" i="8"/>
  <c r="H92" i="8" s="1"/>
  <c r="I91" i="8"/>
  <c r="V91" i="8" l="1"/>
  <c r="U92" i="8" s="1"/>
  <c r="E91" i="8" l="1"/>
  <c r="T91" i="8" s="1"/>
  <c r="AM91" i="8" s="1"/>
  <c r="D92" i="8" l="1"/>
  <c r="R92" i="8"/>
  <c r="Z91" i="8"/>
  <c r="AK92" i="8" l="1"/>
  <c r="AL92" i="8"/>
  <c r="S92" i="8"/>
  <c r="W92" i="8"/>
  <c r="AJ92" i="8" l="1"/>
  <c r="G92" i="8" l="1"/>
  <c r="F93" i="8" l="1"/>
  <c r="I92" i="8"/>
  <c r="O92" i="8"/>
  <c r="N93" i="8" l="1"/>
  <c r="K92" i="8"/>
  <c r="J93" i="8" l="1"/>
  <c r="V92" i="8"/>
  <c r="U93" i="8" l="1"/>
  <c r="E92" i="8"/>
  <c r="T92" i="8" l="1"/>
  <c r="AM92" i="8" s="1"/>
  <c r="D93" i="8"/>
  <c r="R93" i="8" l="1"/>
  <c r="Z92" i="8"/>
  <c r="AA93" i="8" s="1"/>
  <c r="AA94" i="8" s="1"/>
  <c r="AA95" i="8" s="1"/>
  <c r="AA96" i="8" s="1"/>
  <c r="AA97" i="8" s="1"/>
  <c r="AA98" i="8" s="1"/>
  <c r="AA99" i="8" s="1"/>
  <c r="AA100" i="8" s="1"/>
  <c r="AA101" i="8" s="1"/>
  <c r="AA102" i="8" s="1"/>
  <c r="AA103" i="8" s="1"/>
  <c r="AA104" i="8" s="1"/>
  <c r="W93" i="8" l="1"/>
  <c r="S93" i="8"/>
  <c r="AJ93" i="8" s="1"/>
  <c r="G93" i="8" l="1"/>
  <c r="F94" i="8" s="1"/>
  <c r="H94" i="8" s="1"/>
  <c r="AN93" i="8"/>
  <c r="AK93" i="8" l="1"/>
  <c r="AL93" i="8"/>
  <c r="O93" i="8"/>
  <c r="N94" i="8" s="1"/>
  <c r="I93" i="8"/>
  <c r="AN94" i="8"/>
  <c r="K93" i="8" l="1"/>
  <c r="J94" i="8" s="1"/>
  <c r="AN95" i="8"/>
  <c r="V93" i="8" l="1"/>
  <c r="U94" i="8" s="1"/>
  <c r="AN96" i="8"/>
  <c r="E93" i="8" l="1"/>
  <c r="T93" i="8" s="1"/>
  <c r="AM93" i="8" s="1"/>
  <c r="AN97" i="8"/>
  <c r="D94" i="8" l="1"/>
  <c r="AN99" i="8"/>
  <c r="AN98" i="8"/>
  <c r="R94" i="8"/>
  <c r="Z93" i="8"/>
  <c r="AK94" i="8" l="1"/>
  <c r="AL94" i="8"/>
  <c r="S94" i="8"/>
  <c r="W94" i="8"/>
  <c r="AJ94" i="8" l="1"/>
  <c r="G94" i="8" l="1"/>
  <c r="F95" i="8" l="1"/>
  <c r="H95" i="8" s="1"/>
  <c r="I94" i="8"/>
  <c r="O94" i="8"/>
  <c r="K94" i="8" l="1"/>
  <c r="N95" i="8"/>
  <c r="J95" i="8" l="1"/>
  <c r="V94" i="8"/>
  <c r="U95" i="8" l="1"/>
  <c r="E94" i="8"/>
  <c r="T94" i="8" l="1"/>
  <c r="AM94" i="8" s="1"/>
  <c r="D95" i="8"/>
  <c r="R95" i="8" l="1"/>
  <c r="Z94" i="8"/>
  <c r="AK95" i="8" l="1"/>
  <c r="AL95" i="8"/>
  <c r="S95" i="8"/>
  <c r="W95" i="8"/>
  <c r="AJ95" i="8" l="1"/>
  <c r="G95" i="8" l="1"/>
  <c r="O95" i="8" l="1"/>
  <c r="F96" i="8"/>
  <c r="H96" i="8" s="1"/>
  <c r="I95" i="8"/>
  <c r="N96" i="8" l="1"/>
  <c r="K95" i="8"/>
  <c r="J96" i="8" l="1"/>
  <c r="V95" i="8"/>
  <c r="U96" i="8" l="1"/>
  <c r="E95" i="8"/>
  <c r="T95" i="8" l="1"/>
  <c r="AM95" i="8" s="1"/>
  <c r="D96" i="8"/>
  <c r="R96" i="8" l="1"/>
  <c r="Z95" i="8"/>
  <c r="AK96" i="8" l="1"/>
  <c r="AL96" i="8"/>
  <c r="S96" i="8"/>
  <c r="W96" i="8"/>
  <c r="AJ96" i="8" l="1"/>
  <c r="G96" i="8" l="1"/>
  <c r="O96" i="8" s="1"/>
  <c r="N97" i="8" l="1"/>
  <c r="K96" i="8"/>
  <c r="J97" i="8" s="1"/>
  <c r="F97" i="8"/>
  <c r="H97" i="8" s="1"/>
  <c r="I96" i="8"/>
  <c r="V96" i="8" l="1"/>
  <c r="U97" i="8" s="1"/>
  <c r="E96" i="8" l="1"/>
  <c r="T96" i="8" s="1"/>
  <c r="AM96" i="8" s="1"/>
  <c r="D97" i="8" l="1"/>
  <c r="R97" i="8"/>
  <c r="Z96" i="8"/>
  <c r="AK97" i="8" l="1"/>
  <c r="AL97" i="8"/>
  <c r="S97" i="8"/>
  <c r="W97" i="8"/>
  <c r="AJ97" i="8" l="1"/>
  <c r="G97" i="8" l="1"/>
  <c r="O97" i="8" s="1"/>
  <c r="N98" i="8" l="1"/>
  <c r="K97" i="8"/>
  <c r="J98" i="8" s="1"/>
  <c r="F98" i="8"/>
  <c r="H98" i="8" s="1"/>
  <c r="I97" i="8"/>
  <c r="V97" i="8" l="1"/>
  <c r="E97" i="8" l="1"/>
  <c r="U98" i="8"/>
  <c r="T97" i="8" l="1"/>
  <c r="AM97" i="8" s="1"/>
  <c r="D98" i="8"/>
  <c r="R98" i="8" l="1"/>
  <c r="Z97" i="8"/>
  <c r="AK98" i="8" l="1"/>
  <c r="AL98" i="8"/>
  <c r="S98" i="8"/>
  <c r="W98" i="8"/>
  <c r="AJ98" i="8" l="1"/>
  <c r="G98" i="8" l="1"/>
  <c r="F99" i="8" l="1"/>
  <c r="H99" i="8" s="1"/>
  <c r="I98" i="8"/>
  <c r="O98" i="8"/>
  <c r="N99" i="8" l="1"/>
  <c r="K98" i="8"/>
  <c r="J99" i="8" l="1"/>
  <c r="V98" i="8"/>
  <c r="U99" i="8" l="1"/>
  <c r="E98" i="8"/>
  <c r="T98" i="8" l="1"/>
  <c r="AM98" i="8" s="1"/>
  <c r="D99" i="8"/>
  <c r="R99" i="8" l="1"/>
  <c r="Z98" i="8"/>
  <c r="AK99" i="8" l="1"/>
  <c r="AL99" i="8"/>
  <c r="S99" i="8"/>
  <c r="W99" i="8"/>
  <c r="AJ99" i="8" l="1"/>
  <c r="G99" i="8" l="1"/>
  <c r="F100" i="8" l="1"/>
  <c r="H100" i="8" s="1"/>
  <c r="I99" i="8"/>
  <c r="O99" i="8"/>
  <c r="N100" i="8" l="1"/>
  <c r="K99" i="8"/>
  <c r="J100" i="8" l="1"/>
  <c r="V99" i="8"/>
  <c r="U100" i="8" l="1"/>
  <c r="E99" i="8"/>
  <c r="T99" i="8" l="1"/>
  <c r="AM99" i="8" s="1"/>
  <c r="D100" i="8"/>
  <c r="R100" i="8" l="1"/>
  <c r="Z99" i="8"/>
  <c r="AN100" i="8" l="1"/>
  <c r="AK100" i="8" s="1"/>
  <c r="S100" i="8"/>
  <c r="AJ100" i="8" s="1"/>
  <c r="G100" i="8" s="1"/>
  <c r="W100" i="8"/>
  <c r="AL100" i="8" l="1"/>
  <c r="O100" i="8"/>
  <c r="AN101" i="8"/>
  <c r="I100" i="8"/>
  <c r="F101" i="8"/>
  <c r="H101" i="8" s="1"/>
  <c r="AN102" i="8" l="1"/>
  <c r="N101" i="8"/>
  <c r="K100" i="8"/>
  <c r="AN103" i="8" l="1"/>
  <c r="J101" i="8"/>
  <c r="V100" i="8"/>
  <c r="AN104" i="8" l="1"/>
  <c r="AB93" i="8"/>
  <c r="AB94" i="8" s="1"/>
  <c r="AB95" i="8" s="1"/>
  <c r="AB96" i="8" s="1"/>
  <c r="AB97" i="8" s="1"/>
  <c r="AB98" i="8" s="1"/>
  <c r="AB99" i="8" s="1"/>
  <c r="AB100" i="8" s="1"/>
  <c r="AB101" i="8" s="1"/>
  <c r="AB102" i="8" s="1"/>
  <c r="AB103" i="8" s="1"/>
  <c r="AB104" i="8" s="1"/>
  <c r="E100" i="8"/>
  <c r="U101" i="8"/>
  <c r="D101" i="8" l="1"/>
  <c r="T100" i="8"/>
  <c r="AM100" i="8" s="1"/>
  <c r="R101" i="8" l="1"/>
  <c r="Z100" i="8"/>
  <c r="W101" i="8" l="1"/>
  <c r="AK101" i="8"/>
  <c r="AL101" i="8"/>
  <c r="S101" i="8"/>
  <c r="AJ101" i="8" l="1"/>
  <c r="G101" i="8" l="1"/>
  <c r="F102" i="8" l="1"/>
  <c r="H102" i="8" s="1"/>
  <c r="I101" i="8"/>
  <c r="O101" i="8"/>
  <c r="N102" i="8" l="1"/>
  <c r="K101" i="8"/>
  <c r="J102" i="8" l="1"/>
  <c r="V101" i="8"/>
  <c r="U102" i="8" l="1"/>
  <c r="E101" i="8"/>
  <c r="T101" i="8" l="1"/>
  <c r="AM101" i="8" s="1"/>
  <c r="D102" i="8"/>
  <c r="R102" i="8" l="1"/>
  <c r="Z101" i="8"/>
  <c r="W102" i="8" l="1"/>
  <c r="AK102" i="8"/>
  <c r="AL102" i="8"/>
  <c r="S102" i="8"/>
  <c r="AJ102" i="8" l="1"/>
  <c r="G102" i="8" l="1"/>
  <c r="O102" i="8" s="1"/>
  <c r="K102" i="8" l="1"/>
  <c r="J103" i="8" s="1"/>
  <c r="N103" i="8"/>
  <c r="F103" i="8"/>
  <c r="H103" i="8" s="1"/>
  <c r="I102" i="8"/>
  <c r="V102" i="8" l="1"/>
  <c r="E102" i="8" l="1"/>
  <c r="U103" i="8"/>
  <c r="T102" i="8" l="1"/>
  <c r="AM102" i="8" s="1"/>
  <c r="D103" i="8"/>
  <c r="R103" i="8" l="1"/>
  <c r="Z102" i="8"/>
  <c r="AK103" i="8" l="1"/>
  <c r="AL103" i="8"/>
  <c r="S103" i="8"/>
  <c r="W103" i="8"/>
  <c r="AJ103" i="8" l="1"/>
  <c r="G103" i="8" l="1"/>
  <c r="O103" i="8" s="1"/>
  <c r="N104" i="8" l="1"/>
  <c r="K103" i="8"/>
  <c r="F104" i="8"/>
  <c r="H104" i="8" s="1"/>
  <c r="I103" i="8"/>
  <c r="V103" i="8" l="1"/>
  <c r="J104" i="8"/>
  <c r="U104" i="8" l="1"/>
  <c r="E103" i="8"/>
  <c r="T103" i="8" l="1"/>
  <c r="AM103" i="8" s="1"/>
  <c r="D104" i="8"/>
  <c r="R104" i="8" l="1"/>
  <c r="Z103" i="8"/>
  <c r="AK104" i="8" l="1"/>
  <c r="AL104" i="8"/>
  <c r="S104" i="8"/>
  <c r="W104" i="8"/>
  <c r="AJ104" i="8" l="1"/>
  <c r="G104" i="8" l="1"/>
  <c r="O104" i="8" s="1"/>
  <c r="F105" i="8" l="1"/>
  <c r="I104" i="8"/>
  <c r="K104" i="8"/>
  <c r="N105" i="8"/>
  <c r="V104" i="8" l="1"/>
  <c r="J105" i="8"/>
  <c r="U105" i="8" l="1"/>
  <c r="E104" i="8"/>
  <c r="T104" i="8" l="1"/>
  <c r="AM104" i="8" s="1"/>
  <c r="D105" i="8"/>
  <c r="R105" i="8" l="1"/>
  <c r="Z104" i="8"/>
  <c r="AA105" i="8" s="1"/>
  <c r="AA106" i="8" s="1"/>
  <c r="AA107" i="8" s="1"/>
  <c r="AA108" i="8" s="1"/>
  <c r="AA109" i="8" s="1"/>
  <c r="AA110" i="8" s="1"/>
  <c r="AA111" i="8" s="1"/>
  <c r="AA112" i="8" s="1"/>
  <c r="AA113" i="8" s="1"/>
  <c r="AA114" i="8" s="1"/>
  <c r="AA115" i="8" s="1"/>
  <c r="AA116" i="8" s="1"/>
  <c r="S105" i="8" l="1"/>
  <c r="AJ105" i="8" s="1"/>
  <c r="G105" i="8" s="1"/>
  <c r="O105" i="8" s="1"/>
  <c r="AN105" i="8"/>
  <c r="AL105" i="8" s="1"/>
  <c r="W105" i="8"/>
  <c r="AK105" i="8" l="1"/>
  <c r="N106" i="8"/>
  <c r="K105" i="8"/>
  <c r="J106" i="8" s="1"/>
  <c r="AN106" i="8"/>
  <c r="F106" i="8"/>
  <c r="H106" i="8" s="1"/>
  <c r="I105" i="8"/>
  <c r="V105" i="8" l="1"/>
  <c r="E105" i="8" s="1"/>
  <c r="AN107" i="8"/>
  <c r="U106" i="8" l="1"/>
  <c r="D106" i="8"/>
  <c r="T105" i="8"/>
  <c r="AM105" i="8" s="1"/>
  <c r="AN108" i="8"/>
  <c r="Z105" i="8" l="1"/>
  <c r="R106" i="8"/>
  <c r="AN109" i="8"/>
  <c r="W106" i="8" l="1"/>
  <c r="AK106" i="8"/>
  <c r="AL106" i="8"/>
  <c r="AN110" i="8"/>
  <c r="S106" i="8"/>
  <c r="AJ106" i="8" l="1"/>
  <c r="AN111" i="8"/>
  <c r="G106" i="8" l="1"/>
  <c r="F107" i="8" l="1"/>
  <c r="H107" i="8" s="1"/>
  <c r="I106" i="8"/>
  <c r="O106" i="8"/>
  <c r="K106" i="8" l="1"/>
  <c r="N107" i="8"/>
  <c r="J107" i="8" l="1"/>
  <c r="V106" i="8"/>
  <c r="E106" i="8" l="1"/>
  <c r="U107" i="8"/>
  <c r="T106" i="8" l="1"/>
  <c r="AM106" i="8" s="1"/>
  <c r="D107" i="8"/>
  <c r="R107" i="8" l="1"/>
  <c r="Z106" i="8"/>
  <c r="AK107" i="8" l="1"/>
  <c r="AL107" i="8"/>
  <c r="S107" i="8"/>
  <c r="W107" i="8"/>
  <c r="AJ107" i="8" l="1"/>
  <c r="G107" i="8" l="1"/>
  <c r="O107" i="8" s="1"/>
  <c r="N108" i="8" l="1"/>
  <c r="K107" i="8"/>
  <c r="J108" i="8" s="1"/>
  <c r="F108" i="8"/>
  <c r="H108" i="8" s="1"/>
  <c r="I107" i="8"/>
  <c r="V107" i="8" l="1"/>
  <c r="U108" i="8" l="1"/>
  <c r="E107" i="8"/>
  <c r="T107" i="8" l="1"/>
  <c r="AM107" i="8" s="1"/>
  <c r="D108" i="8"/>
  <c r="R108" i="8" l="1"/>
  <c r="Z107" i="8"/>
  <c r="AK108" i="8" l="1"/>
  <c r="AL108" i="8"/>
  <c r="S108" i="8"/>
  <c r="W108" i="8"/>
  <c r="AJ108" i="8" l="1"/>
  <c r="G108" i="8" l="1"/>
  <c r="O108" i="8" s="1"/>
  <c r="N109" i="8" l="1"/>
  <c r="F109" i="8"/>
  <c r="H109" i="8" s="1"/>
  <c r="I108" i="8"/>
  <c r="K108" i="8"/>
  <c r="J109" i="8" s="1"/>
  <c r="V108" i="8" l="1"/>
  <c r="U109" i="8" s="1"/>
  <c r="E108" i="8" l="1"/>
  <c r="T108" i="8" s="1"/>
  <c r="AM108" i="8" s="1"/>
  <c r="D109" i="8" l="1"/>
  <c r="R109" i="8"/>
  <c r="Z108" i="8"/>
  <c r="AK109" i="8" l="1"/>
  <c r="AL109" i="8"/>
  <c r="S109" i="8"/>
  <c r="W109" i="8"/>
  <c r="AJ109" i="8" l="1"/>
  <c r="G109" i="8" l="1"/>
  <c r="F110" i="8" l="1"/>
  <c r="H110" i="8" s="1"/>
  <c r="I109" i="8"/>
  <c r="O109" i="8"/>
  <c r="N110" i="8" l="1"/>
  <c r="K109" i="8"/>
  <c r="J110" i="8" l="1"/>
  <c r="V109" i="8"/>
  <c r="U110" i="8" l="1"/>
  <c r="E109" i="8"/>
  <c r="T109" i="8" l="1"/>
  <c r="AM109" i="8" s="1"/>
  <c r="D110" i="8"/>
  <c r="R110" i="8" l="1"/>
  <c r="Z109" i="8"/>
  <c r="AK110" i="8" l="1"/>
  <c r="AL110" i="8"/>
  <c r="S110" i="8"/>
  <c r="W110" i="8"/>
  <c r="AJ110" i="8" l="1"/>
  <c r="G110" i="8" l="1"/>
  <c r="O110" i="8" s="1"/>
  <c r="K110" i="8" s="1"/>
  <c r="J111" i="8" s="1"/>
  <c r="N111" i="8" l="1"/>
  <c r="F111" i="8"/>
  <c r="H111" i="8" s="1"/>
  <c r="I110" i="8"/>
  <c r="V110" i="8"/>
  <c r="U111" i="8" l="1"/>
  <c r="E110" i="8"/>
  <c r="T110" i="8" l="1"/>
  <c r="AM110" i="8" s="1"/>
  <c r="D111" i="8"/>
  <c r="R111" i="8" l="1"/>
  <c r="Z110" i="8"/>
  <c r="AK111" i="8" l="1"/>
  <c r="AL111" i="8"/>
  <c r="S111" i="8"/>
  <c r="W111" i="8"/>
  <c r="AJ111" i="8" l="1"/>
  <c r="G111" i="8" l="1"/>
  <c r="O111" i="8" s="1"/>
  <c r="N112" i="8" l="1"/>
  <c r="K111" i="8"/>
  <c r="J112" i="8" s="1"/>
  <c r="I111" i="8"/>
  <c r="F112" i="8"/>
  <c r="H112" i="8" s="1"/>
  <c r="V111" i="8" l="1"/>
  <c r="U112" i="8" l="1"/>
  <c r="E111" i="8"/>
  <c r="T111" i="8" l="1"/>
  <c r="AM111" i="8" s="1"/>
  <c r="D112" i="8"/>
  <c r="R112" i="8" l="1"/>
  <c r="Z111" i="8"/>
  <c r="S112" i="8" l="1"/>
  <c r="AJ112" i="8" s="1"/>
  <c r="G112" i="8" s="1"/>
  <c r="AN112" i="8"/>
  <c r="AK112" i="8" s="1"/>
  <c r="W112" i="8"/>
  <c r="AL112" i="8" l="1"/>
  <c r="AN113" i="8"/>
  <c r="O112" i="8"/>
  <c r="F113" i="8"/>
  <c r="H113" i="8" s="1"/>
  <c r="I112" i="8"/>
  <c r="N113" i="8" l="1"/>
  <c r="K112" i="8"/>
  <c r="AN114" i="8"/>
  <c r="AN115" i="8" l="1"/>
  <c r="J113" i="8"/>
  <c r="V112" i="8"/>
  <c r="AN116" i="8" l="1"/>
  <c r="AB105" i="8"/>
  <c r="AB106" i="8" s="1"/>
  <c r="AB107" i="8" s="1"/>
  <c r="AB108" i="8" s="1"/>
  <c r="AB109" i="8" s="1"/>
  <c r="AB110" i="8" s="1"/>
  <c r="AB111" i="8" s="1"/>
  <c r="AB112" i="8" s="1"/>
  <c r="AB113" i="8" s="1"/>
  <c r="AB114" i="8" s="1"/>
  <c r="AB115" i="8" s="1"/>
  <c r="AB116" i="8" s="1"/>
  <c r="U113" i="8"/>
  <c r="E112" i="8"/>
  <c r="T112" i="8" l="1"/>
  <c r="AM112" i="8" s="1"/>
  <c r="D113" i="8"/>
  <c r="R113" i="8" l="1"/>
  <c r="Z112" i="8"/>
  <c r="AK113" i="8" l="1"/>
  <c r="AL113" i="8"/>
  <c r="S113" i="8"/>
  <c r="W113" i="8"/>
  <c r="AJ113" i="8" l="1"/>
  <c r="G113" i="8" l="1"/>
  <c r="O113" i="8" s="1"/>
  <c r="N114" i="8" l="1"/>
  <c r="K113" i="8"/>
  <c r="J114" i="8" s="1"/>
  <c r="F114" i="8"/>
  <c r="H114" i="8" s="1"/>
  <c r="I113" i="8"/>
  <c r="V113" i="8" l="1"/>
  <c r="U114" i="8" s="1"/>
  <c r="E113" i="8" l="1"/>
  <c r="T113" i="8" s="1"/>
  <c r="D114" i="8" l="1"/>
  <c r="R114" i="8"/>
  <c r="AM113" i="8"/>
  <c r="Z113" i="8"/>
  <c r="AK114" i="8" l="1"/>
  <c r="AL114" i="8"/>
  <c r="S114" i="8"/>
  <c r="W114" i="8"/>
  <c r="AJ114" i="8" l="1"/>
  <c r="G114" i="8" l="1"/>
  <c r="F115" i="8" l="1"/>
  <c r="H115" i="8" s="1"/>
  <c r="I114" i="8"/>
  <c r="O114" i="8"/>
  <c r="N115" i="8" l="1"/>
  <c r="K114" i="8"/>
  <c r="J115" i="8" l="1"/>
  <c r="V114" i="8"/>
  <c r="U115" i="8" l="1"/>
  <c r="E114" i="8"/>
  <c r="T114" i="8" l="1"/>
  <c r="AM114" i="8" s="1"/>
  <c r="D115" i="8"/>
  <c r="R115" i="8" l="1"/>
  <c r="Z114" i="8"/>
  <c r="AK115" i="8" l="1"/>
  <c r="AL115" i="8"/>
  <c r="S115" i="8"/>
  <c r="W115" i="8"/>
  <c r="AJ115" i="8" l="1"/>
  <c r="G115" i="8" l="1"/>
  <c r="O115" i="8" s="1"/>
  <c r="N116" i="8" l="1"/>
  <c r="K115" i="8"/>
  <c r="J116" i="8" s="1"/>
  <c r="F116" i="8"/>
  <c r="H116" i="8" s="1"/>
  <c r="I115" i="8"/>
  <c r="V115" i="8" l="1"/>
  <c r="U116" i="8" s="1"/>
  <c r="E115" i="8" l="1"/>
  <c r="T115" i="8" s="1"/>
  <c r="AM115" i="8" s="1"/>
  <c r="D116" i="8" l="1"/>
  <c r="R116" i="8"/>
  <c r="Z115" i="8"/>
  <c r="AK116" i="8" l="1"/>
  <c r="AL116" i="8"/>
  <c r="S116" i="8"/>
  <c r="W116" i="8"/>
  <c r="AJ116" i="8" l="1"/>
  <c r="G116" i="8" l="1"/>
  <c r="O116" i="8" s="1"/>
  <c r="N117" i="8" l="1"/>
  <c r="F117" i="8"/>
  <c r="I116" i="8"/>
  <c r="K116" i="8"/>
  <c r="J117" i="8" s="1"/>
  <c r="V116" i="8" l="1"/>
  <c r="U117" i="8" l="1"/>
  <c r="E116" i="8"/>
  <c r="T116" i="8" l="1"/>
  <c r="AM116" i="8" s="1"/>
  <c r="D117" i="8"/>
  <c r="R117" i="8" l="1"/>
  <c r="Z116" i="8"/>
  <c r="AA117" i="8" s="1"/>
  <c r="AA118" i="8" s="1"/>
  <c r="AA119" i="8" s="1"/>
  <c r="AA120" i="8" s="1"/>
  <c r="AA121" i="8" s="1"/>
  <c r="AA122" i="8" s="1"/>
  <c r="AA123" i="8" s="1"/>
  <c r="AA124" i="8" s="1"/>
  <c r="AA125" i="8" s="1"/>
  <c r="AA126" i="8" s="1"/>
  <c r="AA127" i="8" s="1"/>
  <c r="AA128" i="8" s="1"/>
  <c r="AN117" i="8" l="1"/>
  <c r="AK117" i="8" s="1"/>
  <c r="S117" i="8"/>
  <c r="AJ117" i="8" s="1"/>
  <c r="G117" i="8" s="1"/>
  <c r="O117" i="8" s="1"/>
  <c r="W117" i="8"/>
  <c r="AL117" i="8" l="1"/>
  <c r="N118" i="8"/>
  <c r="K117" i="8"/>
  <c r="J118" i="8" s="1"/>
  <c r="AN118" i="8"/>
  <c r="F118" i="8"/>
  <c r="H118" i="8" s="1"/>
  <c r="I117" i="8"/>
  <c r="V117" i="8" l="1"/>
  <c r="AN119" i="8"/>
  <c r="U118" i="8" l="1"/>
  <c r="E117" i="8"/>
  <c r="AN120" i="8"/>
  <c r="T117" i="8" l="1"/>
  <c r="AM117" i="8" s="1"/>
  <c r="D118" i="8"/>
  <c r="AN121" i="8"/>
  <c r="AN122" i="8" l="1"/>
  <c r="AN123" i="8"/>
  <c r="R118" i="8"/>
  <c r="Z117" i="8"/>
  <c r="AK118" i="8" l="1"/>
  <c r="AL118" i="8"/>
  <c r="S118" i="8"/>
  <c r="W118" i="8"/>
  <c r="AJ118" i="8" l="1"/>
  <c r="G118" i="8" l="1"/>
  <c r="O118" i="8" s="1"/>
  <c r="N119" i="8" l="1"/>
  <c r="F119" i="8"/>
  <c r="H119" i="8" s="1"/>
  <c r="I118" i="8"/>
  <c r="K118" i="8"/>
  <c r="J119" i="8" s="1"/>
  <c r="V118" i="8" l="1"/>
  <c r="U119" i="8" l="1"/>
  <c r="E118" i="8"/>
  <c r="T118" i="8" l="1"/>
  <c r="AM118" i="8" s="1"/>
  <c r="D119" i="8"/>
  <c r="R119" i="8" l="1"/>
  <c r="Z118" i="8"/>
  <c r="AK119" i="8" l="1"/>
  <c r="AL119" i="8"/>
  <c r="S119" i="8"/>
  <c r="W119" i="8"/>
  <c r="AJ119" i="8" l="1"/>
  <c r="G119" i="8" l="1"/>
  <c r="O119" i="8" s="1"/>
  <c r="N120" i="8" l="1"/>
  <c r="K119" i="8"/>
  <c r="J120" i="8" s="1"/>
  <c r="F120" i="8"/>
  <c r="H120" i="8" s="1"/>
  <c r="I119" i="8"/>
  <c r="V119" i="8" l="1"/>
  <c r="U120" i="8" s="1"/>
  <c r="E119" i="8" l="1"/>
  <c r="T119" i="8" s="1"/>
  <c r="D120" i="8" l="1"/>
  <c r="R120" i="8"/>
  <c r="Z119" i="8"/>
  <c r="AM119" i="8"/>
  <c r="AK120" i="8" l="1"/>
  <c r="AL120" i="8"/>
  <c r="W120" i="8"/>
  <c r="S120" i="8"/>
  <c r="AJ120" i="8" l="1"/>
  <c r="G120" i="8" l="1"/>
  <c r="O120" i="8" s="1"/>
  <c r="N121" i="8" l="1"/>
  <c r="K120" i="8"/>
  <c r="J121" i="8" s="1"/>
  <c r="F121" i="8"/>
  <c r="H121" i="8" s="1"/>
  <c r="I120" i="8"/>
  <c r="V120" i="8" l="1"/>
  <c r="U121" i="8" s="1"/>
  <c r="E120" i="8" l="1"/>
  <c r="T120" i="8" s="1"/>
  <c r="D121" i="8" l="1"/>
  <c r="R121" i="8"/>
  <c r="Z120" i="8"/>
  <c r="AM120" i="8"/>
  <c r="AK121" i="8" l="1"/>
  <c r="AL121" i="8"/>
  <c r="W121" i="8"/>
  <c r="S121" i="8"/>
  <c r="AJ121" i="8" l="1"/>
  <c r="G121" i="8" l="1"/>
  <c r="O121" i="8" s="1"/>
  <c r="N122" i="8" l="1"/>
  <c r="K121" i="8"/>
  <c r="J122" i="8" s="1"/>
  <c r="F122" i="8"/>
  <c r="H122" i="8" s="1"/>
  <c r="I121" i="8"/>
  <c r="V121" i="8" l="1"/>
  <c r="U122" i="8" s="1"/>
  <c r="E121" i="8" l="1"/>
  <c r="T121" i="8" s="1"/>
  <c r="AM121" i="8" s="1"/>
  <c r="D122" i="8" l="1"/>
  <c r="R122" i="8"/>
  <c r="Z121" i="8"/>
  <c r="AK122" i="8" l="1"/>
  <c r="AL122" i="8"/>
  <c r="S122" i="8"/>
  <c r="W122" i="8"/>
  <c r="AJ122" i="8" l="1"/>
  <c r="G122" i="8" l="1"/>
  <c r="F123" i="8" l="1"/>
  <c r="H123" i="8" s="1"/>
  <c r="I122" i="8"/>
  <c r="O122" i="8"/>
  <c r="N123" i="8" l="1"/>
  <c r="K122" i="8"/>
  <c r="J123" i="8" l="1"/>
  <c r="V122" i="8"/>
  <c r="U123" i="8" l="1"/>
  <c r="E122" i="8"/>
  <c r="T122" i="8" l="1"/>
  <c r="AM122" i="8" s="1"/>
  <c r="D123" i="8"/>
  <c r="R123" i="8" l="1"/>
  <c r="Z122" i="8"/>
  <c r="AK123" i="8" l="1"/>
  <c r="AL123" i="8"/>
  <c r="S123" i="8"/>
  <c r="W123" i="8"/>
  <c r="AJ123" i="8" l="1"/>
  <c r="G123" i="8" l="1"/>
  <c r="F124" i="8" l="1"/>
  <c r="H124" i="8" s="1"/>
  <c r="I123" i="8"/>
  <c r="O123" i="8"/>
  <c r="N124" i="8" l="1"/>
  <c r="K123" i="8"/>
  <c r="J124" i="8" l="1"/>
  <c r="V123" i="8"/>
  <c r="U124" i="8" l="1"/>
  <c r="E123" i="8"/>
  <c r="T123" i="8" l="1"/>
  <c r="AM123" i="8" s="1"/>
  <c r="D124" i="8"/>
  <c r="R124" i="8" l="1"/>
  <c r="Z123" i="8"/>
  <c r="S124" i="8" l="1"/>
  <c r="AJ124" i="8" s="1"/>
  <c r="G124" i="8" s="1"/>
  <c r="AN124" i="8"/>
  <c r="AK124" i="8" s="1"/>
  <c r="W124" i="8"/>
  <c r="AL124" i="8" l="1"/>
  <c r="AN125" i="8"/>
  <c r="I124" i="8"/>
  <c r="F125" i="8"/>
  <c r="H125" i="8" s="1"/>
  <c r="O124" i="8"/>
  <c r="K124" i="8" l="1"/>
  <c r="N125" i="8"/>
  <c r="AN126" i="8"/>
  <c r="AN127" i="8" l="1"/>
  <c r="J125" i="8"/>
  <c r="V124" i="8"/>
  <c r="AN128" i="8" l="1"/>
  <c r="AB117" i="8"/>
  <c r="AB118" i="8" s="1"/>
  <c r="AB119" i="8" s="1"/>
  <c r="AB120" i="8" s="1"/>
  <c r="AB121" i="8" s="1"/>
  <c r="AB122" i="8" s="1"/>
  <c r="AB123" i="8" s="1"/>
  <c r="AB124" i="8" s="1"/>
  <c r="AB125" i="8" s="1"/>
  <c r="AB126" i="8" s="1"/>
  <c r="AB127" i="8" s="1"/>
  <c r="AB128" i="8" s="1"/>
  <c r="U125" i="8"/>
  <c r="E124" i="8"/>
  <c r="T124" i="8" l="1"/>
  <c r="AM124" i="8" s="1"/>
  <c r="D125" i="8"/>
  <c r="R125" i="8" l="1"/>
  <c r="Z124" i="8"/>
  <c r="AK125" i="8" l="1"/>
  <c r="AL125" i="8"/>
  <c r="S125" i="8"/>
  <c r="W125" i="8"/>
  <c r="AJ125" i="8" l="1"/>
  <c r="G125" i="8" l="1"/>
  <c r="O125" i="8" s="1"/>
  <c r="N126" i="8" l="1"/>
  <c r="K125" i="8"/>
  <c r="J126" i="8" s="1"/>
  <c r="F126" i="8"/>
  <c r="H126" i="8" s="1"/>
  <c r="I125" i="8"/>
  <c r="V125" i="8" l="1"/>
  <c r="U126" i="8" s="1"/>
  <c r="E125" i="8" l="1"/>
  <c r="T125" i="8" s="1"/>
  <c r="AM125" i="8" s="1"/>
  <c r="D126" i="8" l="1"/>
  <c r="R126" i="8"/>
  <c r="Z125" i="8"/>
  <c r="AK126" i="8" l="1"/>
  <c r="AL126" i="8"/>
  <c r="S126" i="8"/>
  <c r="W126" i="8"/>
  <c r="AJ126" i="8" l="1"/>
  <c r="G126" i="8" l="1"/>
  <c r="F127" i="8" l="1"/>
  <c r="H127" i="8" s="1"/>
  <c r="I126" i="8"/>
  <c r="O126" i="8"/>
  <c r="N127" i="8" l="1"/>
  <c r="K126" i="8"/>
  <c r="J127" i="8" l="1"/>
  <c r="V126" i="8"/>
  <c r="U127" i="8" l="1"/>
  <c r="E126" i="8"/>
  <c r="T126" i="8" l="1"/>
  <c r="AM126" i="8" s="1"/>
  <c r="D127" i="8"/>
  <c r="R127" i="8" l="1"/>
  <c r="Z126" i="8"/>
  <c r="AK127" i="8" l="1"/>
  <c r="AL127" i="8"/>
  <c r="S127" i="8"/>
  <c r="W127" i="8"/>
  <c r="AJ127" i="8" l="1"/>
  <c r="G127" i="8" l="1"/>
  <c r="O127" i="8" s="1"/>
  <c r="N128" i="8" l="1"/>
  <c r="K127" i="8"/>
  <c r="J128" i="8" s="1"/>
  <c r="F128" i="8"/>
  <c r="H128" i="8" s="1"/>
  <c r="I127" i="8"/>
  <c r="V127" i="8" l="1"/>
  <c r="U128" i="8" s="1"/>
  <c r="E127" i="8" l="1"/>
  <c r="T127" i="8" s="1"/>
  <c r="AM127" i="8" s="1"/>
  <c r="D128" i="8" l="1"/>
  <c r="R128" i="8"/>
  <c r="Z127" i="8"/>
  <c r="AK128" i="8" l="1"/>
  <c r="AL128" i="8"/>
  <c r="S128" i="8"/>
  <c r="W128" i="8"/>
  <c r="AJ128" i="8" l="1"/>
  <c r="G128" i="8" l="1"/>
  <c r="O128" i="8" s="1"/>
  <c r="N129" i="8" l="1"/>
  <c r="K128" i="8"/>
  <c r="J129" i="8" s="1"/>
  <c r="F129" i="8"/>
  <c r="I128" i="8"/>
  <c r="V128" i="8" l="1"/>
  <c r="U129" i="8" s="1"/>
  <c r="E128" i="8" l="1"/>
  <c r="T128" i="8" s="1"/>
  <c r="AM128" i="8" s="1"/>
  <c r="D129" i="8" l="1"/>
  <c r="R129" i="8"/>
  <c r="Z128" i="8"/>
  <c r="AA129" i="8" s="1"/>
  <c r="AA130" i="8" s="1"/>
  <c r="AA131" i="8" s="1"/>
  <c r="AA132" i="8" s="1"/>
  <c r="AA133" i="8" s="1"/>
  <c r="AA134" i="8" s="1"/>
  <c r="AA135" i="8" s="1"/>
  <c r="AA136" i="8" s="1"/>
  <c r="AA137" i="8" s="1"/>
  <c r="AA138" i="8" s="1"/>
  <c r="AA139" i="8" s="1"/>
  <c r="AA140" i="8" s="1"/>
  <c r="S129" i="8" l="1"/>
  <c r="AJ129" i="8" s="1"/>
  <c r="W129" i="8"/>
  <c r="G129" i="8" l="1"/>
  <c r="I129" i="8" s="1"/>
  <c r="AN129" i="8"/>
  <c r="AK129" i="8" l="1"/>
  <c r="AL129" i="8"/>
  <c r="O129" i="8"/>
  <c r="N130" i="8" s="1"/>
  <c r="F130" i="8"/>
  <c r="H130" i="8" s="1"/>
  <c r="AN130" i="8"/>
  <c r="K129" i="8" l="1"/>
  <c r="J130" i="8" s="1"/>
  <c r="AN131" i="8"/>
  <c r="V129" i="8" l="1"/>
  <c r="U130" i="8" s="1"/>
  <c r="AN132" i="8"/>
  <c r="E129" i="8" l="1"/>
  <c r="T129" i="8" s="1"/>
  <c r="AM129" i="8" s="1"/>
  <c r="AN133" i="8"/>
  <c r="D130" i="8" l="1"/>
  <c r="AN135" i="8"/>
  <c r="AN134" i="8"/>
  <c r="R130" i="8"/>
  <c r="Z129" i="8"/>
  <c r="W130" i="8" l="1"/>
  <c r="AK130" i="8"/>
  <c r="AL130" i="8"/>
  <c r="S130" i="8"/>
  <c r="AJ130" i="8" l="1"/>
  <c r="G130" i="8" l="1"/>
  <c r="O130" i="8" l="1"/>
  <c r="F131" i="8"/>
  <c r="H131" i="8" s="1"/>
  <c r="I130" i="8"/>
  <c r="N131" i="8" l="1"/>
  <c r="K130" i="8"/>
  <c r="J131" i="8" l="1"/>
  <c r="V130" i="8"/>
  <c r="U131" i="8" l="1"/>
  <c r="E130" i="8"/>
  <c r="T130" i="8" l="1"/>
  <c r="AM130" i="8" s="1"/>
  <c r="D131" i="8"/>
  <c r="R131" i="8" l="1"/>
  <c r="Z130" i="8"/>
  <c r="AK131" i="8" l="1"/>
  <c r="AL131" i="8"/>
  <c r="S131" i="8"/>
  <c r="W131" i="8"/>
  <c r="AJ131" i="8" l="1"/>
  <c r="G131" i="8" l="1"/>
  <c r="O131" i="8" s="1"/>
  <c r="N132" i="8" l="1"/>
  <c r="K131" i="8"/>
  <c r="J132" i="8" s="1"/>
  <c r="F132" i="8"/>
  <c r="H132" i="8" s="1"/>
  <c r="I131" i="8"/>
  <c r="V131" i="8" l="1"/>
  <c r="U132" i="8" l="1"/>
  <c r="E131" i="8"/>
  <c r="T131" i="8" l="1"/>
  <c r="AM131" i="8" s="1"/>
  <c r="D132" i="8"/>
  <c r="R132" i="8" l="1"/>
  <c r="Z131" i="8"/>
  <c r="W132" i="8" l="1"/>
  <c r="AK132" i="8"/>
  <c r="AL132" i="8"/>
  <c r="S132" i="8"/>
  <c r="AJ132" i="8" l="1"/>
  <c r="G132" i="8" l="1"/>
  <c r="O132" i="8" s="1"/>
  <c r="N133" i="8" l="1"/>
  <c r="K132" i="8"/>
  <c r="J133" i="8" s="1"/>
  <c r="F133" i="8"/>
  <c r="H133" i="8" s="1"/>
  <c r="I132" i="8"/>
  <c r="V132" i="8" l="1"/>
  <c r="U133" i="8" s="1"/>
  <c r="E132" i="8" l="1"/>
  <c r="T132" i="8" s="1"/>
  <c r="AM132" i="8" s="1"/>
  <c r="D133" i="8" l="1"/>
  <c r="R133" i="8"/>
  <c r="Z132" i="8"/>
  <c r="AK133" i="8" l="1"/>
  <c r="AL133" i="8"/>
  <c r="S133" i="8"/>
  <c r="W133" i="8"/>
  <c r="AJ133" i="8" l="1"/>
  <c r="G133" i="8" l="1"/>
  <c r="O133" i="8" l="1"/>
  <c r="F134" i="8"/>
  <c r="H134" i="8" s="1"/>
  <c r="I133" i="8"/>
  <c r="N134" i="8" l="1"/>
  <c r="K133" i="8"/>
  <c r="J134" i="8" l="1"/>
  <c r="V133" i="8"/>
  <c r="U134" i="8" l="1"/>
  <c r="E133" i="8"/>
  <c r="T133" i="8" l="1"/>
  <c r="AM133" i="8" s="1"/>
  <c r="D134" i="8"/>
  <c r="R134" i="8" l="1"/>
  <c r="Z133" i="8"/>
  <c r="AK134" i="8" l="1"/>
  <c r="AL134" i="8"/>
  <c r="S134" i="8"/>
  <c r="W134" i="8"/>
  <c r="AJ134" i="8" l="1"/>
  <c r="G134" i="8" l="1"/>
  <c r="F135" i="8" l="1"/>
  <c r="H135" i="8" s="1"/>
  <c r="I134" i="8"/>
  <c r="O134" i="8"/>
  <c r="N135" i="8" l="1"/>
  <c r="K134" i="8"/>
  <c r="J135" i="8" l="1"/>
  <c r="V134" i="8"/>
  <c r="U135" i="8" l="1"/>
  <c r="E134" i="8"/>
  <c r="T134" i="8" l="1"/>
  <c r="AM134" i="8" s="1"/>
  <c r="D135" i="8"/>
  <c r="R135" i="8" l="1"/>
  <c r="Z134" i="8"/>
  <c r="AK135" i="8" l="1"/>
  <c r="AL135" i="8"/>
  <c r="S135" i="8"/>
  <c r="W135" i="8"/>
  <c r="AJ135" i="8" l="1"/>
  <c r="G135" i="8" l="1"/>
  <c r="F136" i="8" l="1"/>
  <c r="H136" i="8" s="1"/>
  <c r="I135" i="8"/>
  <c r="O135" i="8"/>
  <c r="N136" i="8" l="1"/>
  <c r="K135" i="8"/>
  <c r="J136" i="8" l="1"/>
  <c r="V135" i="8"/>
  <c r="U136" i="8" l="1"/>
  <c r="E135" i="8"/>
  <c r="T135" i="8" l="1"/>
  <c r="AM135" i="8" s="1"/>
  <c r="D136" i="8"/>
  <c r="R136" i="8" l="1"/>
  <c r="Z135" i="8"/>
  <c r="S136" i="8" l="1"/>
  <c r="AJ136" i="8" s="1"/>
  <c r="G136" i="8" s="1"/>
  <c r="AN136" i="8"/>
  <c r="AK136" i="8" s="1"/>
  <c r="W136" i="8"/>
  <c r="AL136" i="8" l="1"/>
  <c r="O136" i="8"/>
  <c r="N137" i="8" s="1"/>
  <c r="I136" i="8"/>
  <c r="F137" i="8"/>
  <c r="H137" i="8" s="1"/>
  <c r="AN137" i="8"/>
  <c r="K136" i="8" l="1"/>
  <c r="J137" i="8" s="1"/>
  <c r="AN138" i="8"/>
  <c r="V136" i="8" l="1"/>
  <c r="U137" i="8" s="1"/>
  <c r="AN139" i="8"/>
  <c r="E136" i="8" l="1"/>
  <c r="AN140" i="8"/>
  <c r="AB129" i="8"/>
  <c r="AB130" i="8" s="1"/>
  <c r="AB131" i="8" s="1"/>
  <c r="AB132" i="8" s="1"/>
  <c r="AB133" i="8" s="1"/>
  <c r="AB134" i="8" s="1"/>
  <c r="AB135" i="8" s="1"/>
  <c r="AB136" i="8" s="1"/>
  <c r="AB137" i="8" s="1"/>
  <c r="AB138" i="8" s="1"/>
  <c r="AB139" i="8" s="1"/>
  <c r="AB140" i="8" s="1"/>
  <c r="T136" i="8" l="1"/>
  <c r="D137" i="8"/>
  <c r="R137" i="8" l="1"/>
  <c r="Z136" i="8"/>
  <c r="AM136" i="8"/>
  <c r="AK137" i="8" l="1"/>
  <c r="AL137" i="8"/>
  <c r="S137" i="8"/>
  <c r="AJ137" i="8" s="1"/>
  <c r="G137" i="8" s="1"/>
  <c r="O137" i="8" s="1"/>
  <c r="W137" i="8"/>
  <c r="N138" i="8" l="1"/>
  <c r="K137" i="8"/>
  <c r="J138" i="8" s="1"/>
  <c r="F138" i="8"/>
  <c r="H138" i="8" s="1"/>
  <c r="I137" i="8"/>
  <c r="V137" i="8" l="1"/>
  <c r="U138" i="8" l="1"/>
  <c r="E137" i="8"/>
  <c r="T137" i="8" l="1"/>
  <c r="AM137" i="8" s="1"/>
  <c r="D138" i="8"/>
  <c r="R138" i="8" l="1"/>
  <c r="Z137" i="8"/>
  <c r="AK138" i="8" l="1"/>
  <c r="AL138" i="8"/>
  <c r="S138" i="8"/>
  <c r="W138" i="8"/>
  <c r="AJ138" i="8" l="1"/>
  <c r="G138" i="8" l="1"/>
  <c r="O138" i="8" s="1"/>
  <c r="N139" i="8" l="1"/>
  <c r="K138" i="8"/>
  <c r="J139" i="8" s="1"/>
  <c r="F139" i="8"/>
  <c r="H139" i="8" s="1"/>
  <c r="I138" i="8"/>
  <c r="V138" i="8" l="1"/>
  <c r="U139" i="8" s="1"/>
  <c r="E138" i="8" l="1"/>
  <c r="T138" i="8" s="1"/>
  <c r="AM138" i="8" s="1"/>
  <c r="D139" i="8" l="1"/>
  <c r="R139" i="8"/>
  <c r="Z138" i="8"/>
  <c r="AK139" i="8" l="1"/>
  <c r="AL139" i="8"/>
  <c r="S139" i="8"/>
  <c r="W139" i="8"/>
  <c r="AJ139" i="8" l="1"/>
  <c r="G139" i="8" l="1"/>
  <c r="O139" i="8" s="1"/>
  <c r="N140" i="8" l="1"/>
  <c r="K139" i="8"/>
  <c r="J140" i="8" s="1"/>
  <c r="F140" i="8"/>
  <c r="H140" i="8" s="1"/>
  <c r="I139" i="8"/>
  <c r="V139" i="8" l="1"/>
  <c r="U140" i="8" s="1"/>
  <c r="E139" i="8" l="1"/>
  <c r="T139" i="8" s="1"/>
  <c r="D140" i="8" l="1"/>
  <c r="R140" i="8"/>
  <c r="Z139" i="8"/>
  <c r="AM139" i="8"/>
  <c r="AK140" i="8" l="1"/>
  <c r="AL140" i="8"/>
  <c r="S140" i="8"/>
  <c r="W140" i="8"/>
  <c r="AJ140" i="8" l="1"/>
  <c r="G140" i="8" l="1"/>
  <c r="F141" i="8" l="1"/>
  <c r="I140" i="8"/>
  <c r="O140" i="8"/>
  <c r="N141" i="8" l="1"/>
  <c r="K140" i="8"/>
  <c r="J141" i="8" l="1"/>
  <c r="V140" i="8"/>
  <c r="U141" i="8" l="1"/>
  <c r="E140" i="8"/>
  <c r="T140" i="8" l="1"/>
  <c r="AM140" i="8" s="1"/>
  <c r="D141" i="8"/>
  <c r="R141" i="8" l="1"/>
  <c r="Z140" i="8"/>
  <c r="AA141" i="8" s="1"/>
  <c r="AA142" i="8" s="1"/>
  <c r="AA143" i="8" s="1"/>
  <c r="AA144" i="8" s="1"/>
  <c r="AA145" i="8" s="1"/>
  <c r="AA146" i="8" s="1"/>
  <c r="AA147" i="8" s="1"/>
  <c r="AA148" i="8" s="1"/>
  <c r="AA149" i="8" s="1"/>
  <c r="AA150" i="8" s="1"/>
  <c r="AA151" i="8" s="1"/>
  <c r="AA152" i="8" s="1"/>
  <c r="S141" i="8" l="1"/>
  <c r="AJ141" i="8" s="1"/>
  <c r="W141" i="8"/>
  <c r="AN141" i="8" l="1"/>
  <c r="G141" i="8"/>
  <c r="O141" i="8" s="1"/>
  <c r="AK141" i="8" l="1"/>
  <c r="AL141" i="8"/>
  <c r="N142" i="8"/>
  <c r="K141" i="8"/>
  <c r="J142" i="8" s="1"/>
  <c r="AN142" i="8"/>
  <c r="F142" i="8"/>
  <c r="H142" i="8" s="1"/>
  <c r="I141" i="8"/>
  <c r="V141" i="8" l="1"/>
  <c r="U142" i="8" s="1"/>
  <c r="AN143" i="8"/>
  <c r="E141" i="8" l="1"/>
  <c r="T141" i="8" s="1"/>
  <c r="AM141" i="8" s="1"/>
  <c r="AN144" i="8"/>
  <c r="D142" i="8" l="1"/>
  <c r="R142" i="8"/>
  <c r="Z141" i="8"/>
  <c r="AN145" i="8"/>
  <c r="W142" i="8" l="1"/>
  <c r="AK142" i="8"/>
  <c r="AL142" i="8"/>
  <c r="AN146" i="8"/>
  <c r="AN147" i="8"/>
  <c r="S142" i="8"/>
  <c r="AJ142" i="8" l="1"/>
  <c r="G142" i="8" l="1"/>
  <c r="O142" i="8" s="1"/>
  <c r="N143" i="8" l="1"/>
  <c r="K142" i="8"/>
  <c r="J143" i="8" s="1"/>
  <c r="F143" i="8"/>
  <c r="H143" i="8" s="1"/>
  <c r="I142" i="8"/>
  <c r="V142" i="8" l="1"/>
  <c r="U143" i="8" l="1"/>
  <c r="E142" i="8"/>
  <c r="T142" i="8" l="1"/>
  <c r="AM142" i="8" s="1"/>
  <c r="D143" i="8"/>
  <c r="R143" i="8" l="1"/>
  <c r="Z142" i="8"/>
  <c r="AK143" i="8" l="1"/>
  <c r="AL143" i="8"/>
  <c r="S143" i="8"/>
  <c r="W143" i="8"/>
  <c r="AJ143" i="8" l="1"/>
  <c r="G143" i="8" l="1"/>
  <c r="O143" i="8" s="1"/>
  <c r="N144" i="8" l="1"/>
  <c r="F144" i="8"/>
  <c r="H144" i="8" s="1"/>
  <c r="I143" i="8"/>
  <c r="K143" i="8"/>
  <c r="J144" i="8" s="1"/>
  <c r="V143" i="8" l="1"/>
  <c r="U144" i="8" l="1"/>
  <c r="E143" i="8"/>
  <c r="T143" i="8" l="1"/>
  <c r="AM143" i="8" s="1"/>
  <c r="D144" i="8"/>
  <c r="R144" i="8" l="1"/>
  <c r="Z143" i="8"/>
  <c r="AK144" i="8" l="1"/>
  <c r="AL144" i="8"/>
  <c r="S144" i="8"/>
  <c r="W144" i="8"/>
  <c r="AJ144" i="8" l="1"/>
  <c r="G144" i="8" l="1"/>
  <c r="F145" i="8" l="1"/>
  <c r="H145" i="8" s="1"/>
  <c r="I144" i="8"/>
  <c r="O144" i="8"/>
  <c r="N145" i="8" l="1"/>
  <c r="K144" i="8"/>
  <c r="J145" i="8" l="1"/>
  <c r="V144" i="8"/>
  <c r="U145" i="8" l="1"/>
  <c r="E144" i="8"/>
  <c r="T144" i="8" l="1"/>
  <c r="AM144" i="8" s="1"/>
  <c r="D145" i="8"/>
  <c r="R145" i="8" l="1"/>
  <c r="Z144" i="8"/>
  <c r="AK145" i="8" l="1"/>
  <c r="AL145" i="8"/>
  <c r="S145" i="8"/>
  <c r="W145" i="8"/>
  <c r="AJ145" i="8" l="1"/>
  <c r="G145" i="8" l="1"/>
  <c r="O145" i="8" l="1"/>
  <c r="F146" i="8"/>
  <c r="H146" i="8" s="1"/>
  <c r="I145" i="8"/>
  <c r="N146" i="8" l="1"/>
  <c r="K145" i="8"/>
  <c r="J146" i="8" l="1"/>
  <c r="V145" i="8"/>
  <c r="U146" i="8" l="1"/>
  <c r="E145" i="8"/>
  <c r="T145" i="8" l="1"/>
  <c r="AM145" i="8" s="1"/>
  <c r="D146" i="8"/>
  <c r="R146" i="8" l="1"/>
  <c r="Z145" i="8"/>
  <c r="AK146" i="8" l="1"/>
  <c r="AL146" i="8"/>
  <c r="S146" i="8"/>
  <c r="W146" i="8"/>
  <c r="AJ146" i="8" l="1"/>
  <c r="G146" i="8" l="1"/>
  <c r="F147" i="8" l="1"/>
  <c r="H147" i="8" s="1"/>
  <c r="I146" i="8"/>
  <c r="O146" i="8"/>
  <c r="N147" i="8" l="1"/>
  <c r="K146" i="8"/>
  <c r="J147" i="8" l="1"/>
  <c r="V146" i="8"/>
  <c r="U147" i="8" l="1"/>
  <c r="E146" i="8"/>
  <c r="T146" i="8" l="1"/>
  <c r="AM146" i="8" s="1"/>
  <c r="D147" i="8"/>
  <c r="R147" i="8" l="1"/>
  <c r="Z146" i="8"/>
  <c r="AK147" i="8" l="1"/>
  <c r="AL147" i="8"/>
  <c r="S147" i="8"/>
  <c r="W147" i="8"/>
  <c r="AJ147" i="8" l="1"/>
  <c r="G147" i="8" l="1"/>
  <c r="O147" i="8" l="1"/>
  <c r="F148" i="8"/>
  <c r="H148" i="8" s="1"/>
  <c r="I147" i="8"/>
  <c r="N148" i="8" l="1"/>
  <c r="K147" i="8"/>
  <c r="J148" i="8" l="1"/>
  <c r="V147" i="8"/>
  <c r="U148" i="8" l="1"/>
  <c r="E147" i="8"/>
  <c r="T147" i="8" l="1"/>
  <c r="AM147" i="8" s="1"/>
  <c r="D148" i="8"/>
  <c r="R148" i="8" l="1"/>
  <c r="Z147" i="8"/>
  <c r="S148" i="8" l="1"/>
  <c r="AJ148" i="8" s="1"/>
  <c r="G148" i="8" s="1"/>
  <c r="AN148" i="8"/>
  <c r="AK148" i="8" s="1"/>
  <c r="W148" i="8"/>
  <c r="AL148" i="8" l="1"/>
  <c r="O148" i="8"/>
  <c r="AN149" i="8"/>
  <c r="I148" i="8"/>
  <c r="F149" i="8"/>
  <c r="H149" i="8" s="1"/>
  <c r="AN150" i="8" l="1"/>
  <c r="N149" i="8"/>
  <c r="K148" i="8"/>
  <c r="J149" i="8" l="1"/>
  <c r="V148" i="8"/>
  <c r="AN151" i="8"/>
  <c r="AN152" i="8" l="1"/>
  <c r="AB141" i="8"/>
  <c r="AB142" i="8" s="1"/>
  <c r="AB143" i="8" s="1"/>
  <c r="AB144" i="8" s="1"/>
  <c r="AB145" i="8" s="1"/>
  <c r="AB146" i="8" s="1"/>
  <c r="AB147" i="8" s="1"/>
  <c r="AB148" i="8" s="1"/>
  <c r="AB149" i="8" s="1"/>
  <c r="AB150" i="8" s="1"/>
  <c r="AB151" i="8" s="1"/>
  <c r="AB152" i="8" s="1"/>
  <c r="U149" i="8"/>
  <c r="E148" i="8"/>
  <c r="T148" i="8" l="1"/>
  <c r="AM148" i="8" s="1"/>
  <c r="D149" i="8"/>
  <c r="R149" i="8" l="1"/>
  <c r="Z148" i="8"/>
  <c r="AK149" i="8" l="1"/>
  <c r="AL149" i="8"/>
  <c r="S149" i="8"/>
  <c r="W149" i="8"/>
  <c r="AJ149" i="8" l="1"/>
  <c r="G149" i="8" l="1"/>
  <c r="F150" i="8" l="1"/>
  <c r="H150" i="8" s="1"/>
  <c r="I149" i="8"/>
  <c r="O149" i="8"/>
  <c r="N150" i="8" l="1"/>
  <c r="K149" i="8"/>
  <c r="J150" i="8" l="1"/>
  <c r="V149" i="8"/>
  <c r="U150" i="8" l="1"/>
  <c r="E149" i="8"/>
  <c r="T149" i="8" l="1"/>
  <c r="AM149" i="8" s="1"/>
  <c r="D150" i="8"/>
  <c r="R150" i="8" l="1"/>
  <c r="Z149" i="8"/>
  <c r="AK150" i="8" l="1"/>
  <c r="AL150" i="8"/>
  <c r="S150" i="8"/>
  <c r="W150" i="8"/>
  <c r="AJ150" i="8" l="1"/>
  <c r="G150" i="8" l="1"/>
  <c r="O150" i="8" s="1"/>
  <c r="N151" i="8" l="1"/>
  <c r="F151" i="8"/>
  <c r="H151" i="8" s="1"/>
  <c r="I150" i="8"/>
  <c r="K150" i="8"/>
  <c r="J151" i="8" s="1"/>
  <c r="V150" i="8" l="1"/>
  <c r="U151" i="8" l="1"/>
  <c r="E150" i="8"/>
  <c r="T150" i="8" l="1"/>
  <c r="AM150" i="8" s="1"/>
  <c r="D151" i="8"/>
  <c r="R151" i="8" l="1"/>
  <c r="Z150" i="8"/>
  <c r="AK151" i="8" l="1"/>
  <c r="AL151" i="8"/>
  <c r="S151" i="8"/>
  <c r="W151" i="8"/>
  <c r="AJ151" i="8" l="1"/>
  <c r="G151" i="8" l="1"/>
  <c r="F152" i="8" l="1"/>
  <c r="H152" i="8" s="1"/>
  <c r="I151" i="8"/>
  <c r="O151" i="8"/>
  <c r="N152" i="8" l="1"/>
  <c r="K151" i="8"/>
  <c r="J152" i="8" l="1"/>
  <c r="V151" i="8"/>
  <c r="U152" i="8" l="1"/>
  <c r="E151" i="8"/>
  <c r="T151" i="8" l="1"/>
  <c r="AM151" i="8" s="1"/>
  <c r="D152" i="8"/>
  <c r="R152" i="8" l="1"/>
  <c r="Z151" i="8"/>
  <c r="AK152" i="8" l="1"/>
  <c r="AL152" i="8"/>
  <c r="S152" i="8"/>
  <c r="W152" i="8"/>
  <c r="AJ152" i="8" l="1"/>
  <c r="G152" i="8" l="1"/>
  <c r="F153" i="8" l="1"/>
  <c r="I152" i="8"/>
  <c r="O152" i="8"/>
  <c r="N153" i="8" l="1"/>
  <c r="K152" i="8"/>
  <c r="J153" i="8" l="1"/>
  <c r="V152" i="8"/>
  <c r="U153" i="8" l="1"/>
  <c r="E152" i="8"/>
  <c r="T152" i="8" l="1"/>
  <c r="AM152" i="8" s="1"/>
  <c r="D153" i="8"/>
  <c r="R153" i="8" l="1"/>
  <c r="Z152" i="8"/>
  <c r="AA153" i="8" s="1"/>
  <c r="AA154" i="8" s="1"/>
  <c r="AA155" i="8" s="1"/>
  <c r="AA156" i="8" s="1"/>
  <c r="AA157" i="8" s="1"/>
  <c r="AA158" i="8" s="1"/>
  <c r="AA159" i="8" s="1"/>
  <c r="AA160" i="8" s="1"/>
  <c r="AA161" i="8" s="1"/>
  <c r="AA162" i="8" s="1"/>
  <c r="AA163" i="8" s="1"/>
  <c r="AA164" i="8" s="1"/>
  <c r="S153" i="8" l="1"/>
  <c r="AJ153" i="8" s="1"/>
  <c r="W153" i="8"/>
  <c r="G153" i="8" l="1"/>
  <c r="F154" i="8" s="1"/>
  <c r="H154" i="8" s="1"/>
  <c r="AN153" i="8"/>
  <c r="AK153" i="8" l="1"/>
  <c r="AL153" i="8"/>
  <c r="O153" i="8"/>
  <c r="N154" i="8" s="1"/>
  <c r="I153" i="8"/>
  <c r="AN154" i="8"/>
  <c r="K153" i="8" l="1"/>
  <c r="J154" i="8" s="1"/>
  <c r="AN155" i="8"/>
  <c r="V153" i="8" l="1"/>
  <c r="U154" i="8" s="1"/>
  <c r="AN156" i="8"/>
  <c r="E153" i="8" l="1"/>
  <c r="T153" i="8" s="1"/>
  <c r="AM153" i="8" s="1"/>
  <c r="AN157" i="8"/>
  <c r="D154" i="8" l="1"/>
  <c r="AN159" i="8"/>
  <c r="AN158" i="8"/>
  <c r="R154" i="8"/>
  <c r="Z153" i="8"/>
  <c r="W154" i="8" l="1"/>
  <c r="AK154" i="8"/>
  <c r="AL154" i="8"/>
  <c r="S154" i="8"/>
  <c r="AJ154" i="8" l="1"/>
  <c r="G154" i="8" l="1"/>
  <c r="O154" i="8" s="1"/>
  <c r="N155" i="8" l="1"/>
  <c r="F155" i="8"/>
  <c r="H155" i="8" s="1"/>
  <c r="I154" i="8"/>
  <c r="K154" i="8"/>
  <c r="J155" i="8" s="1"/>
  <c r="V154" i="8" l="1"/>
  <c r="U155" i="8" l="1"/>
  <c r="E154" i="8"/>
  <c r="T154" i="8" l="1"/>
  <c r="AM154" i="8" s="1"/>
  <c r="D155" i="8"/>
  <c r="R155" i="8" l="1"/>
  <c r="Z154" i="8"/>
  <c r="AK155" i="8" l="1"/>
  <c r="AL155" i="8"/>
  <c r="S155" i="8"/>
  <c r="W155" i="8"/>
  <c r="AJ155" i="8" l="1"/>
  <c r="G155" i="8" l="1"/>
  <c r="O155" i="8" s="1"/>
  <c r="K155" i="8" s="1"/>
  <c r="J156" i="8" s="1"/>
  <c r="N156" i="8" l="1"/>
  <c r="F156" i="8"/>
  <c r="H156" i="8" s="1"/>
  <c r="I155" i="8"/>
  <c r="V155" i="8"/>
  <c r="U156" i="8" l="1"/>
  <c r="E155" i="8"/>
  <c r="T155" i="8" l="1"/>
  <c r="AM155" i="8" s="1"/>
  <c r="D156" i="8"/>
  <c r="R156" i="8" l="1"/>
  <c r="Z155" i="8"/>
  <c r="AK156" i="8" l="1"/>
  <c r="AL156" i="8"/>
  <c r="S156" i="8"/>
  <c r="W156" i="8"/>
  <c r="AJ156" i="8" l="1"/>
  <c r="G156" i="8" l="1"/>
  <c r="F157" i="8" l="1"/>
  <c r="H157" i="8" s="1"/>
  <c r="I156" i="8"/>
  <c r="O156" i="8"/>
  <c r="N157" i="8" l="1"/>
  <c r="K156" i="8"/>
  <c r="J157" i="8" l="1"/>
  <c r="V156" i="8"/>
  <c r="U157" i="8" l="1"/>
  <c r="E156" i="8"/>
  <c r="T156" i="8" l="1"/>
  <c r="AM156" i="8" s="1"/>
  <c r="D157" i="8"/>
  <c r="R157" i="8" l="1"/>
  <c r="Z156" i="8"/>
  <c r="AK157" i="8" l="1"/>
  <c r="AL157" i="8"/>
  <c r="S157" i="8"/>
  <c r="W157" i="8"/>
  <c r="AJ157" i="8" l="1"/>
  <c r="G157" i="8" l="1"/>
  <c r="F158" i="8" l="1"/>
  <c r="H158" i="8" s="1"/>
  <c r="I157" i="8"/>
  <c r="O157" i="8"/>
  <c r="N158" i="8" l="1"/>
  <c r="K157" i="8"/>
  <c r="J158" i="8" l="1"/>
  <c r="V157" i="8"/>
  <c r="U158" i="8" l="1"/>
  <c r="E157" i="8"/>
  <c r="T157" i="8" l="1"/>
  <c r="AM157" i="8" s="1"/>
  <c r="D158" i="8"/>
  <c r="R158" i="8" l="1"/>
  <c r="Z157" i="8"/>
  <c r="AK158" i="8" l="1"/>
  <c r="AL158" i="8"/>
  <c r="S158" i="8"/>
  <c r="W158" i="8"/>
  <c r="AJ158" i="8" l="1"/>
  <c r="G158" i="8" l="1"/>
  <c r="F159" i="8" l="1"/>
  <c r="H159" i="8" s="1"/>
  <c r="I158" i="8"/>
  <c r="O158" i="8"/>
  <c r="N159" i="8" l="1"/>
  <c r="K158" i="8"/>
  <c r="J159" i="8" l="1"/>
  <c r="V158" i="8"/>
  <c r="U159" i="8" l="1"/>
  <c r="E158" i="8"/>
  <c r="T158" i="8" l="1"/>
  <c r="AM158" i="8" s="1"/>
  <c r="D159" i="8"/>
  <c r="R159" i="8" l="1"/>
  <c r="Z158" i="8"/>
  <c r="AK159" i="8" l="1"/>
  <c r="AL159" i="8"/>
  <c r="S159" i="8"/>
  <c r="W159" i="8"/>
  <c r="AJ159" i="8" l="1"/>
  <c r="G159" i="8" l="1"/>
  <c r="F160" i="8" l="1"/>
  <c r="H160" i="8" s="1"/>
  <c r="I159" i="8"/>
  <c r="O159" i="8"/>
  <c r="N160" i="8" l="1"/>
  <c r="K159" i="8"/>
  <c r="J160" i="8" l="1"/>
  <c r="V159" i="8"/>
  <c r="U160" i="8" l="1"/>
  <c r="E159" i="8"/>
  <c r="T159" i="8" l="1"/>
  <c r="AM159" i="8" s="1"/>
  <c r="D160" i="8"/>
  <c r="R160" i="8" l="1"/>
  <c r="Z159" i="8"/>
  <c r="S160" i="8" l="1"/>
  <c r="AJ160" i="8" s="1"/>
  <c r="G160" i="8" s="1"/>
  <c r="AN160" i="8"/>
  <c r="AK160" i="8" s="1"/>
  <c r="W160" i="8"/>
  <c r="AL160" i="8" l="1"/>
  <c r="O160" i="8"/>
  <c r="N161" i="8" s="1"/>
  <c r="I160" i="8"/>
  <c r="F161" i="8"/>
  <c r="H161" i="8" s="1"/>
  <c r="AN161" i="8"/>
  <c r="K160" i="8" l="1"/>
  <c r="AN162" i="8"/>
  <c r="J161" i="8" l="1"/>
  <c r="V160" i="8"/>
  <c r="AN163" i="8"/>
  <c r="U161" i="8" l="1"/>
  <c r="E160" i="8"/>
  <c r="AN164" i="8"/>
  <c r="AB153" i="8"/>
  <c r="AB154" i="8" s="1"/>
  <c r="AB155" i="8" s="1"/>
  <c r="AB156" i="8" s="1"/>
  <c r="AB157" i="8" s="1"/>
  <c r="AB158" i="8" s="1"/>
  <c r="AB159" i="8" s="1"/>
  <c r="AB160" i="8" s="1"/>
  <c r="AB161" i="8" s="1"/>
  <c r="AB162" i="8" s="1"/>
  <c r="AB163" i="8" s="1"/>
  <c r="AB164" i="8" s="1"/>
  <c r="T160" i="8" l="1"/>
  <c r="D161" i="8"/>
  <c r="R161" i="8" l="1"/>
  <c r="Z160" i="8"/>
  <c r="AM160" i="8"/>
  <c r="AK161" i="8" l="1"/>
  <c r="AL161" i="8"/>
  <c r="S161" i="8"/>
  <c r="AJ161" i="8" s="1"/>
  <c r="G161" i="8" s="1"/>
  <c r="O161" i="8" s="1"/>
  <c r="W161" i="8"/>
  <c r="N162" i="8" l="1"/>
  <c r="K161" i="8"/>
  <c r="J162" i="8" s="1"/>
  <c r="F162" i="8"/>
  <c r="H162" i="8" s="1"/>
  <c r="I161" i="8"/>
  <c r="V161" i="8" l="1"/>
  <c r="U162" i="8" l="1"/>
  <c r="E161" i="8"/>
  <c r="T161" i="8" l="1"/>
  <c r="AM161" i="8" s="1"/>
  <c r="D162" i="8"/>
  <c r="R162" i="8" l="1"/>
  <c r="Z161" i="8"/>
  <c r="AK162" i="8" l="1"/>
  <c r="AL162" i="8"/>
  <c r="S162" i="8"/>
  <c r="W162" i="8"/>
  <c r="AJ162" i="8" l="1"/>
  <c r="G162" i="8" l="1"/>
  <c r="O162" i="8" l="1"/>
  <c r="F163" i="8"/>
  <c r="H163" i="8" s="1"/>
  <c r="I162" i="8"/>
  <c r="N163" i="8" l="1"/>
  <c r="K162" i="8"/>
  <c r="J163" i="8" l="1"/>
  <c r="V162" i="8"/>
  <c r="U163" i="8" l="1"/>
  <c r="E162" i="8"/>
  <c r="T162" i="8" l="1"/>
  <c r="AM162" i="8" s="1"/>
  <c r="D163" i="8"/>
  <c r="R163" i="8" l="1"/>
  <c r="Z162" i="8"/>
  <c r="AK163" i="8" l="1"/>
  <c r="AL163" i="8"/>
  <c r="S163" i="8"/>
  <c r="AJ163" i="8" s="1"/>
  <c r="W163" i="8"/>
  <c r="G163" i="8" l="1"/>
  <c r="O163" i="8" l="1"/>
  <c r="F164" i="8"/>
  <c r="H164" i="8" s="1"/>
  <c r="I163" i="8"/>
  <c r="N164" i="8" l="1"/>
  <c r="K163" i="8"/>
  <c r="J164" i="8" l="1"/>
  <c r="V163" i="8"/>
  <c r="U164" i="8" l="1"/>
  <c r="E163" i="8"/>
  <c r="T163" i="8" l="1"/>
  <c r="D164" i="8"/>
  <c r="AM163" i="8" l="1"/>
  <c r="R164" i="8"/>
  <c r="Z163" i="8"/>
  <c r="AL164" i="8" l="1"/>
  <c r="AK164" i="8"/>
  <c r="S164" i="8"/>
  <c r="W164" i="8"/>
  <c r="AJ164" i="8" l="1"/>
  <c r="G164" i="8" l="1"/>
  <c r="F165" i="8" l="1"/>
  <c r="I164" i="8"/>
  <c r="O164" i="8"/>
  <c r="N165" i="8" l="1"/>
  <c r="K164" i="8"/>
  <c r="J165" i="8" l="1"/>
  <c r="V164" i="8"/>
  <c r="U165" i="8" l="1"/>
  <c r="E164" i="8"/>
  <c r="T164" i="8" l="1"/>
  <c r="AM164" i="8" s="1"/>
  <c r="D165" i="8"/>
  <c r="R165" i="8" l="1"/>
  <c r="Z164" i="8"/>
  <c r="AA165" i="8" s="1"/>
  <c r="AA166" i="8" s="1"/>
  <c r="AA167" i="8" s="1"/>
  <c r="AA168" i="8" s="1"/>
  <c r="AA169" i="8" s="1"/>
  <c r="AA170" i="8" s="1"/>
  <c r="AA171" i="8" s="1"/>
  <c r="AA172" i="8" s="1"/>
  <c r="AA173" i="8" s="1"/>
  <c r="AA174" i="8" s="1"/>
  <c r="AA175" i="8" s="1"/>
  <c r="AA176" i="8" s="1"/>
  <c r="S165" i="8" l="1"/>
  <c r="AJ165" i="8" s="1"/>
  <c r="W165" i="8"/>
  <c r="G165" i="8" l="1"/>
  <c r="F166" i="8" s="1"/>
  <c r="H166" i="8" s="1"/>
  <c r="AN165" i="8"/>
  <c r="AK165" i="8" l="1"/>
  <c r="AL165" i="8"/>
  <c r="O165" i="8"/>
  <c r="N166" i="8" s="1"/>
  <c r="I165" i="8"/>
  <c r="AN166" i="8"/>
  <c r="K165" i="8" l="1"/>
  <c r="J166" i="8" s="1"/>
  <c r="AN167" i="8"/>
  <c r="V165" i="8" l="1"/>
  <c r="E165" i="8" s="1"/>
  <c r="AN168" i="8"/>
  <c r="U166" i="8" l="1"/>
  <c r="T165" i="8"/>
  <c r="AM165" i="8" s="1"/>
  <c r="D166" i="8"/>
  <c r="AN169" i="8"/>
  <c r="AN171" i="8" l="1"/>
  <c r="AN170" i="8"/>
  <c r="R166" i="8"/>
  <c r="Z165" i="8"/>
  <c r="AK166" i="8" l="1"/>
  <c r="AL166" i="8"/>
  <c r="S166" i="8"/>
  <c r="W166" i="8"/>
  <c r="AJ166" i="8" l="1"/>
  <c r="G166" i="8" l="1"/>
  <c r="O166" i="8" s="1"/>
  <c r="N167" i="8" l="1"/>
  <c r="K166" i="8"/>
  <c r="J167" i="8" s="1"/>
  <c r="F167" i="8"/>
  <c r="H167" i="8" s="1"/>
  <c r="I166" i="8"/>
  <c r="V166" i="8" l="1"/>
  <c r="U167" i="8" l="1"/>
  <c r="E166" i="8"/>
  <c r="T166" i="8" l="1"/>
  <c r="AM166" i="8" s="1"/>
  <c r="D167" i="8"/>
  <c r="R167" i="8" l="1"/>
  <c r="Z166" i="8"/>
  <c r="AK167" i="8" l="1"/>
  <c r="AL167" i="8"/>
  <c r="S167" i="8"/>
  <c r="W167" i="8"/>
  <c r="AJ167" i="8" l="1"/>
  <c r="G167" i="8" l="1"/>
  <c r="F168" i="8" l="1"/>
  <c r="H168" i="8" s="1"/>
  <c r="I167" i="8"/>
  <c r="O167" i="8"/>
  <c r="N168" i="8" l="1"/>
  <c r="K167" i="8"/>
  <c r="J168" i="8" l="1"/>
  <c r="V167" i="8"/>
  <c r="U168" i="8" l="1"/>
  <c r="E167" i="8"/>
  <c r="T167" i="8" l="1"/>
  <c r="AM167" i="8" s="1"/>
  <c r="D168" i="8"/>
  <c r="R168" i="8" l="1"/>
  <c r="Z167" i="8"/>
  <c r="AL168" i="8" l="1"/>
  <c r="AK168" i="8"/>
  <c r="S168" i="8"/>
  <c r="W168" i="8"/>
  <c r="AJ168" i="8" l="1"/>
  <c r="G168" i="8" l="1"/>
  <c r="O168" i="8" l="1"/>
  <c r="F169" i="8"/>
  <c r="H169" i="8" s="1"/>
  <c r="I168" i="8"/>
  <c r="K168" i="8" l="1"/>
  <c r="N169" i="8"/>
  <c r="J169" i="8" l="1"/>
  <c r="V168" i="8"/>
  <c r="U169" i="8" l="1"/>
  <c r="E168" i="8"/>
  <c r="T168" i="8" l="1"/>
  <c r="AM168" i="8" s="1"/>
  <c r="D169" i="8"/>
  <c r="R169" i="8" l="1"/>
  <c r="Z168" i="8"/>
  <c r="AK169" i="8" l="1"/>
  <c r="AL169" i="8"/>
  <c r="S169" i="8"/>
  <c r="W169" i="8"/>
  <c r="AJ169" i="8" l="1"/>
  <c r="G169" i="8" l="1"/>
  <c r="F170" i="8" l="1"/>
  <c r="H170" i="8" s="1"/>
  <c r="I169" i="8"/>
  <c r="O169" i="8"/>
  <c r="N170" i="8" l="1"/>
  <c r="K169" i="8"/>
  <c r="J170" i="8" l="1"/>
  <c r="V169" i="8"/>
  <c r="U170" i="8" l="1"/>
  <c r="E169" i="8"/>
  <c r="T169" i="8" l="1"/>
  <c r="AM169" i="8" s="1"/>
  <c r="D170" i="8"/>
  <c r="R170" i="8" l="1"/>
  <c r="Z169" i="8"/>
  <c r="AK170" i="8" l="1"/>
  <c r="AL170" i="8"/>
  <c r="S170" i="8"/>
  <c r="W170" i="8"/>
  <c r="AJ170" i="8" l="1"/>
  <c r="G170" i="8" l="1"/>
  <c r="F171" i="8" l="1"/>
  <c r="H171" i="8" s="1"/>
  <c r="I170" i="8"/>
  <c r="O170" i="8"/>
  <c r="N171" i="8" l="1"/>
  <c r="K170" i="8"/>
  <c r="J171" i="8" l="1"/>
  <c r="V170" i="8"/>
  <c r="U171" i="8" l="1"/>
  <c r="E170" i="8"/>
  <c r="T170" i="8" l="1"/>
  <c r="AM170" i="8" s="1"/>
  <c r="D171" i="8"/>
  <c r="R171" i="8" l="1"/>
  <c r="Z170" i="8"/>
  <c r="AK171" i="8" l="1"/>
  <c r="AL171" i="8"/>
  <c r="S171" i="8"/>
  <c r="W171" i="8"/>
  <c r="AJ171" i="8" l="1"/>
  <c r="G171" i="8" l="1"/>
  <c r="F172" i="8" l="1"/>
  <c r="H172" i="8" s="1"/>
  <c r="I171" i="8"/>
  <c r="O171" i="8"/>
  <c r="N172" i="8" l="1"/>
  <c r="K171" i="8"/>
  <c r="J172" i="8" l="1"/>
  <c r="V171" i="8"/>
  <c r="U172" i="8" l="1"/>
  <c r="E171" i="8"/>
  <c r="T171" i="8" l="1"/>
  <c r="AM171" i="8" s="1"/>
  <c r="D172" i="8"/>
  <c r="R172" i="8" l="1"/>
  <c r="Z171" i="8"/>
  <c r="S172" i="8" l="1"/>
  <c r="AJ172" i="8" s="1"/>
  <c r="G172" i="8" s="1"/>
  <c r="AN172" i="8"/>
  <c r="AL172" i="8" s="1"/>
  <c r="W172" i="8"/>
  <c r="AK172" i="8" l="1"/>
  <c r="O172" i="8"/>
  <c r="N173" i="8" s="1"/>
  <c r="I172" i="8"/>
  <c r="F173" i="8"/>
  <c r="H173" i="8" s="1"/>
  <c r="AN173" i="8"/>
  <c r="AN174" i="8" l="1"/>
  <c r="K172" i="8"/>
  <c r="J173" i="8" l="1"/>
  <c r="V172" i="8"/>
  <c r="AN175" i="8"/>
  <c r="AN176" i="8" l="1"/>
  <c r="AB165" i="8"/>
  <c r="AB166" i="8" s="1"/>
  <c r="AB167" i="8" s="1"/>
  <c r="AB168" i="8" s="1"/>
  <c r="AB169" i="8" s="1"/>
  <c r="AB170" i="8" s="1"/>
  <c r="AB171" i="8" s="1"/>
  <c r="AB172" i="8" s="1"/>
  <c r="AB173" i="8" s="1"/>
  <c r="AB174" i="8" s="1"/>
  <c r="AB175" i="8" s="1"/>
  <c r="AB176" i="8" s="1"/>
  <c r="U173" i="8"/>
  <c r="E172" i="8"/>
  <c r="T172" i="8" l="1"/>
  <c r="AM172" i="8" s="1"/>
  <c r="D173" i="8"/>
  <c r="R173" i="8" l="1"/>
  <c r="Z172" i="8"/>
  <c r="AK173" i="8" l="1"/>
  <c r="AL173" i="8"/>
  <c r="S173" i="8"/>
  <c r="W173" i="8"/>
  <c r="AJ173" i="8" l="1"/>
  <c r="G173" i="8" l="1"/>
  <c r="O173" i="8" s="1"/>
  <c r="N174" i="8" l="1"/>
  <c r="K173" i="8"/>
  <c r="J174" i="8" s="1"/>
  <c r="F174" i="8"/>
  <c r="H174" i="8" s="1"/>
  <c r="I173" i="8"/>
  <c r="V173" i="8" l="1"/>
  <c r="U174" i="8" l="1"/>
  <c r="E173" i="8"/>
  <c r="T173" i="8" l="1"/>
  <c r="AM173" i="8" s="1"/>
  <c r="D174" i="8"/>
  <c r="R174" i="8" l="1"/>
  <c r="Z173" i="8"/>
  <c r="AK174" i="8" l="1"/>
  <c r="AL174" i="8"/>
  <c r="S174" i="8"/>
  <c r="W174" i="8"/>
  <c r="AJ174" i="8" l="1"/>
  <c r="G174" i="8" l="1"/>
  <c r="F175" i="8" l="1"/>
  <c r="H175" i="8" s="1"/>
  <c r="I174" i="8"/>
  <c r="O174" i="8"/>
  <c r="N175" i="8" l="1"/>
  <c r="K174" i="8"/>
  <c r="J175" i="8" l="1"/>
  <c r="V174" i="8"/>
  <c r="U175" i="8" l="1"/>
  <c r="E174" i="8"/>
  <c r="T174" i="8" l="1"/>
  <c r="AM174" i="8" s="1"/>
  <c r="D175" i="8"/>
  <c r="R175" i="8" l="1"/>
  <c r="Z174" i="8"/>
  <c r="AK175" i="8" l="1"/>
  <c r="AL175" i="8"/>
  <c r="S175" i="8"/>
  <c r="W175" i="8"/>
  <c r="AJ175" i="8" l="1"/>
  <c r="G175" i="8" l="1"/>
  <c r="O175" i="8" l="1"/>
  <c r="F176" i="8"/>
  <c r="H176" i="8" s="1"/>
  <c r="I175" i="8"/>
  <c r="N176" i="8" l="1"/>
  <c r="K175" i="8"/>
  <c r="J176" i="8" l="1"/>
  <c r="V175" i="8"/>
  <c r="U176" i="8" l="1"/>
  <c r="E175" i="8"/>
  <c r="T175" i="8" l="1"/>
  <c r="AM175" i="8" s="1"/>
  <c r="D176" i="8"/>
  <c r="R176" i="8" l="1"/>
  <c r="Z175" i="8"/>
  <c r="AL176" i="8" l="1"/>
  <c r="AK176" i="8"/>
  <c r="S176" i="8"/>
  <c r="W176" i="8"/>
  <c r="AJ176" i="8" l="1"/>
  <c r="G176" i="8" l="1"/>
  <c r="O176" i="8" l="1"/>
  <c r="F177" i="8"/>
  <c r="H177" i="8" s="1"/>
  <c r="I176" i="8"/>
  <c r="K176" i="8" l="1"/>
  <c r="N177" i="8"/>
  <c r="J177" i="8" l="1"/>
  <c r="V176" i="8"/>
  <c r="U177" i="8" l="1"/>
  <c r="E176" i="8"/>
  <c r="T176" i="8" l="1"/>
  <c r="AM176" i="8" s="1"/>
  <c r="D177" i="8"/>
  <c r="R177" i="8" l="1"/>
  <c r="Z176" i="8"/>
  <c r="AA177" i="8" s="1"/>
  <c r="AA178" i="8" s="1"/>
  <c r="AA179" i="8" s="1"/>
  <c r="AA180" i="8" s="1"/>
  <c r="AA181" i="8" s="1"/>
  <c r="AA182" i="8" s="1"/>
  <c r="AA183" i="8" s="1"/>
  <c r="AA184" i="8" s="1"/>
  <c r="AA185" i="8" s="1"/>
  <c r="AA186" i="8" s="1"/>
  <c r="AA187" i="8" s="1"/>
  <c r="AA188" i="8" s="1"/>
  <c r="S177" i="8" l="1"/>
  <c r="AJ177" i="8" s="1"/>
  <c r="W177" i="8"/>
  <c r="G177" i="8" l="1"/>
  <c r="F178" i="8" s="1"/>
  <c r="H178" i="8" s="1"/>
  <c r="AN177" i="8"/>
  <c r="O177" i="8" l="1"/>
  <c r="N178" i="8" s="1"/>
  <c r="AK177" i="8"/>
  <c r="AL177" i="8"/>
  <c r="I177" i="8"/>
  <c r="AN178" i="8"/>
  <c r="K177" i="8" l="1"/>
  <c r="J178" i="8" s="1"/>
  <c r="AN179" i="8"/>
  <c r="V177" i="8" l="1"/>
  <c r="U178" i="8" s="1"/>
  <c r="AN180" i="8"/>
  <c r="E177" i="8" l="1"/>
  <c r="T177" i="8" s="1"/>
  <c r="AN181" i="8"/>
  <c r="D178" i="8" l="1"/>
  <c r="R178" i="8"/>
  <c r="Z177" i="8"/>
  <c r="AN182" i="8"/>
  <c r="AN183" i="8"/>
  <c r="AM177" i="8"/>
  <c r="W178" i="8" l="1"/>
  <c r="AK178" i="8"/>
  <c r="AL178" i="8"/>
  <c r="S178" i="8"/>
  <c r="AJ178" i="8" l="1"/>
  <c r="G178" i="8" l="1"/>
  <c r="F179" i="8" l="1"/>
  <c r="H179" i="8" s="1"/>
  <c r="I178" i="8"/>
  <c r="O178" i="8"/>
  <c r="N179" i="8" l="1"/>
  <c r="K178" i="8"/>
  <c r="J179" i="8" l="1"/>
  <c r="V178" i="8"/>
  <c r="U179" i="8" l="1"/>
  <c r="E178" i="8"/>
  <c r="T178" i="8" l="1"/>
  <c r="AM178" i="8" s="1"/>
  <c r="D179" i="8"/>
  <c r="R179" i="8" l="1"/>
  <c r="Z178" i="8"/>
  <c r="AK179" i="8" l="1"/>
  <c r="AL179" i="8"/>
  <c r="S179" i="8"/>
  <c r="W179" i="8"/>
  <c r="AJ179" i="8" l="1"/>
  <c r="G179" i="8" l="1"/>
  <c r="O179" i="8" s="1"/>
  <c r="N180" i="8" l="1"/>
  <c r="K179" i="8"/>
  <c r="J180" i="8" s="1"/>
  <c r="F180" i="8"/>
  <c r="H180" i="8" s="1"/>
  <c r="I179" i="8"/>
  <c r="V179" i="8" l="1"/>
  <c r="U180" i="8" l="1"/>
  <c r="E179" i="8"/>
  <c r="T179" i="8" l="1"/>
  <c r="AM179" i="8" s="1"/>
  <c r="D180" i="8"/>
  <c r="R180" i="8" l="1"/>
  <c r="Z179" i="8"/>
  <c r="AL180" i="8" l="1"/>
  <c r="AK180" i="8"/>
  <c r="S180" i="8"/>
  <c r="W180" i="8"/>
  <c r="AJ180" i="8" l="1"/>
  <c r="G180" i="8" l="1"/>
  <c r="F181" i="8" l="1"/>
  <c r="H181" i="8" s="1"/>
  <c r="I180" i="8"/>
  <c r="O180" i="8"/>
  <c r="N181" i="8" l="1"/>
  <c r="K180" i="8"/>
  <c r="J181" i="8" l="1"/>
  <c r="V180" i="8"/>
  <c r="U181" i="8" l="1"/>
  <c r="E180" i="8"/>
  <c r="T180" i="8" l="1"/>
  <c r="AM180" i="8" s="1"/>
  <c r="D181" i="8"/>
  <c r="R181" i="8" l="1"/>
  <c r="Z180" i="8"/>
  <c r="AK181" i="8" l="1"/>
  <c r="AL181" i="8"/>
  <c r="S181" i="8"/>
  <c r="W181" i="8"/>
  <c r="AJ181" i="8" l="1"/>
  <c r="G181" i="8" l="1"/>
  <c r="F182" i="8" l="1"/>
  <c r="H182" i="8" s="1"/>
  <c r="I181" i="8"/>
  <c r="O181" i="8"/>
  <c r="N182" i="8" l="1"/>
  <c r="K181" i="8"/>
  <c r="J182" i="8" l="1"/>
  <c r="V181" i="8"/>
  <c r="U182" i="8" l="1"/>
  <c r="E181" i="8"/>
  <c r="T181" i="8" l="1"/>
  <c r="AM181" i="8" s="1"/>
  <c r="D182" i="8"/>
  <c r="R182" i="8" l="1"/>
  <c r="Z181" i="8"/>
  <c r="AL182" i="8" l="1"/>
  <c r="AK182" i="8"/>
  <c r="S182" i="8"/>
  <c r="W182" i="8"/>
  <c r="AJ182" i="8" l="1"/>
  <c r="G182" i="8" l="1"/>
  <c r="F183" i="8" l="1"/>
  <c r="H183" i="8" s="1"/>
  <c r="I182" i="8"/>
  <c r="O182" i="8"/>
  <c r="N183" i="8" l="1"/>
  <c r="K182" i="8"/>
  <c r="J183" i="8" l="1"/>
  <c r="V182" i="8"/>
  <c r="U183" i="8" l="1"/>
  <c r="E182" i="8"/>
  <c r="T182" i="8" l="1"/>
  <c r="AM182" i="8" s="1"/>
  <c r="D183" i="8"/>
  <c r="R183" i="8" l="1"/>
  <c r="Z182" i="8"/>
  <c r="AK183" i="8" l="1"/>
  <c r="AL183" i="8"/>
  <c r="S183" i="8"/>
  <c r="W183" i="8"/>
  <c r="AJ183" i="8" l="1"/>
  <c r="G183" i="8" l="1"/>
  <c r="O183" i="8" l="1"/>
  <c r="F184" i="8"/>
  <c r="H184" i="8" s="1"/>
  <c r="I183" i="8"/>
  <c r="N184" i="8" l="1"/>
  <c r="K183" i="8"/>
  <c r="J184" i="8" l="1"/>
  <c r="V183" i="8"/>
  <c r="U184" i="8" l="1"/>
  <c r="E183" i="8"/>
  <c r="T183" i="8" l="1"/>
  <c r="AM183" i="8" s="1"/>
  <c r="D184" i="8"/>
  <c r="R184" i="8" l="1"/>
  <c r="Z183" i="8"/>
  <c r="S184" i="8" l="1"/>
  <c r="AJ184" i="8" s="1"/>
  <c r="G184" i="8" s="1"/>
  <c r="AN184" i="8"/>
  <c r="AL184" i="8" s="1"/>
  <c r="W184" i="8"/>
  <c r="AK184" i="8" l="1"/>
  <c r="O184" i="8"/>
  <c r="F185" i="8"/>
  <c r="H185" i="8" s="1"/>
  <c r="I184" i="8"/>
  <c r="AN185" i="8"/>
  <c r="N185" i="8" l="1"/>
  <c r="K184" i="8"/>
  <c r="AN186" i="8"/>
  <c r="J185" i="8" l="1"/>
  <c r="V184" i="8"/>
  <c r="AN187" i="8"/>
  <c r="U185" i="8" l="1"/>
  <c r="E184" i="8"/>
  <c r="AN188" i="8"/>
  <c r="AB177" i="8"/>
  <c r="AB178" i="8" s="1"/>
  <c r="AB179" i="8" s="1"/>
  <c r="AB180" i="8" s="1"/>
  <c r="AB181" i="8" s="1"/>
  <c r="AB182" i="8" s="1"/>
  <c r="AB183" i="8" s="1"/>
  <c r="AB184" i="8" s="1"/>
  <c r="AB185" i="8" s="1"/>
  <c r="AB186" i="8" s="1"/>
  <c r="AB187" i="8" s="1"/>
  <c r="AB188" i="8" s="1"/>
  <c r="D185" i="8" l="1"/>
  <c r="T184" i="8"/>
  <c r="AM184" i="8" l="1"/>
  <c r="R185" i="8"/>
  <c r="Z184" i="8"/>
  <c r="W185" i="8" l="1"/>
  <c r="AK185" i="8"/>
  <c r="AL185" i="8"/>
  <c r="S185" i="8"/>
  <c r="AJ185" i="8" l="1"/>
  <c r="G185" i="8" l="1"/>
  <c r="F186" i="8" l="1"/>
  <c r="H186" i="8" s="1"/>
  <c r="I185" i="8"/>
  <c r="O185" i="8"/>
  <c r="N186" i="8" l="1"/>
  <c r="K185" i="8"/>
  <c r="J186" i="8" l="1"/>
  <c r="V185" i="8"/>
  <c r="U186" i="8" l="1"/>
  <c r="E185" i="8"/>
  <c r="T185" i="8" l="1"/>
  <c r="AM185" i="8" s="1"/>
  <c r="D186" i="8"/>
  <c r="R186" i="8" l="1"/>
  <c r="Z185" i="8"/>
  <c r="AL186" i="8" l="1"/>
  <c r="AK186" i="8"/>
  <c r="S186" i="8"/>
  <c r="W186" i="8"/>
  <c r="AJ186" i="8" l="1"/>
  <c r="G186" i="8" l="1"/>
  <c r="O186" i="8" s="1"/>
  <c r="N187" i="8" l="1"/>
  <c r="K186" i="8"/>
  <c r="J187" i="8" s="1"/>
  <c r="F187" i="8"/>
  <c r="H187" i="8" s="1"/>
  <c r="I186" i="8"/>
  <c r="V186" i="8" l="1"/>
  <c r="U187" i="8" s="1"/>
  <c r="E186" i="8" l="1"/>
  <c r="T186" i="8" s="1"/>
  <c r="D187" i="8" l="1"/>
  <c r="R187" i="8"/>
  <c r="AM186" i="8"/>
  <c r="Z186" i="8"/>
  <c r="AK187" i="8" l="1"/>
  <c r="AL187" i="8"/>
  <c r="S187" i="8"/>
  <c r="W187" i="8"/>
  <c r="AJ187" i="8" l="1"/>
  <c r="G187" i="8" l="1"/>
  <c r="F188" i="8" l="1"/>
  <c r="H188" i="8" s="1"/>
  <c r="I187" i="8"/>
  <c r="O187" i="8"/>
  <c r="N188" i="8" l="1"/>
  <c r="K187" i="8"/>
  <c r="J188" i="8" l="1"/>
  <c r="V187" i="8"/>
  <c r="U188" i="8" l="1"/>
  <c r="E187" i="8"/>
  <c r="T187" i="8" l="1"/>
  <c r="AM187" i="8" s="1"/>
  <c r="D188" i="8"/>
  <c r="R188" i="8" l="1"/>
  <c r="Z187" i="8"/>
  <c r="AL188" i="8" l="1"/>
  <c r="AK188" i="8"/>
  <c r="S188" i="8"/>
  <c r="W188" i="8"/>
  <c r="AJ188" i="8" l="1"/>
  <c r="G188" i="8" l="1"/>
  <c r="F189" i="8" l="1"/>
  <c r="H189" i="8" s="1"/>
  <c r="I188" i="8"/>
  <c r="O188" i="8"/>
  <c r="N189" i="8" l="1"/>
  <c r="K188" i="8"/>
  <c r="J189" i="8" l="1"/>
  <c r="V188" i="8"/>
  <c r="U189" i="8" l="1"/>
  <c r="E188" i="8"/>
  <c r="T188" i="8" l="1"/>
  <c r="AM188" i="8" s="1"/>
  <c r="D189" i="8"/>
  <c r="R189" i="8" l="1"/>
  <c r="Z188" i="8"/>
  <c r="AA189" i="8" s="1"/>
  <c r="AA190" i="8" s="1"/>
  <c r="AA191" i="8" s="1"/>
  <c r="AA192" i="8" s="1"/>
  <c r="AA193" i="8" s="1"/>
  <c r="AA194" i="8" s="1"/>
  <c r="AA195" i="8" s="1"/>
  <c r="AA196" i="8" s="1"/>
  <c r="AA197" i="8" s="1"/>
  <c r="AA198" i="8" s="1"/>
  <c r="AA199" i="8" s="1"/>
  <c r="AA200" i="8" s="1"/>
  <c r="S189" i="8" l="1"/>
  <c r="AJ189" i="8" s="1"/>
  <c r="W189" i="8"/>
  <c r="G189" i="8" l="1"/>
  <c r="I189" i="8" s="1"/>
  <c r="AN189" i="8"/>
  <c r="AK189" i="8" l="1"/>
  <c r="AL189" i="8"/>
  <c r="O189" i="8"/>
  <c r="N190" i="8" s="1"/>
  <c r="F190" i="8"/>
  <c r="H190" i="8" s="1"/>
  <c r="AN190" i="8"/>
  <c r="K189" i="8" l="1"/>
  <c r="J190" i="8" s="1"/>
  <c r="AN191" i="8"/>
  <c r="V189" i="8" l="1"/>
  <c r="U190" i="8" s="1"/>
  <c r="AN192" i="8"/>
  <c r="E189" i="8" l="1"/>
  <c r="T189" i="8" s="1"/>
  <c r="AM189" i="8" s="1"/>
  <c r="AN193" i="8"/>
  <c r="D190" i="8" l="1"/>
  <c r="AN194" i="8"/>
  <c r="AN195" i="8"/>
  <c r="R190" i="8"/>
  <c r="Z189" i="8"/>
  <c r="W190" i="8" l="1"/>
  <c r="AL190" i="8"/>
  <c r="AK190" i="8"/>
  <c r="S190" i="8"/>
  <c r="AJ190" i="8" l="1"/>
  <c r="G190" i="8" l="1"/>
  <c r="O190" i="8" l="1"/>
  <c r="F191" i="8"/>
  <c r="H191" i="8" s="1"/>
  <c r="I190" i="8"/>
  <c r="N191" i="8" l="1"/>
  <c r="K190" i="8"/>
  <c r="J191" i="8" l="1"/>
  <c r="V190" i="8"/>
  <c r="U191" i="8" l="1"/>
  <c r="E190" i="8"/>
  <c r="T190" i="8" l="1"/>
  <c r="AM190" i="8" s="1"/>
  <c r="D191" i="8"/>
  <c r="R191" i="8" l="1"/>
  <c r="Z190" i="8"/>
  <c r="AK191" i="8" l="1"/>
  <c r="AL191" i="8"/>
  <c r="S191" i="8"/>
  <c r="W191" i="8"/>
  <c r="AJ191" i="8" l="1"/>
  <c r="G191" i="8" l="1"/>
  <c r="O191" i="8" l="1"/>
  <c r="F192" i="8"/>
  <c r="H192" i="8" s="1"/>
  <c r="I191" i="8"/>
  <c r="N192" i="8" l="1"/>
  <c r="K191" i="8"/>
  <c r="J192" i="8" l="1"/>
  <c r="V191" i="8"/>
  <c r="U192" i="8" l="1"/>
  <c r="E191" i="8"/>
  <c r="T191" i="8" l="1"/>
  <c r="AM191" i="8" s="1"/>
  <c r="D192" i="8"/>
  <c r="R192" i="8" l="1"/>
  <c r="Z191" i="8"/>
  <c r="AL192" i="8" l="1"/>
  <c r="AK192" i="8"/>
  <c r="S192" i="8"/>
  <c r="W192" i="8"/>
  <c r="AJ192" i="8" l="1"/>
  <c r="G192" i="8" l="1"/>
  <c r="F193" i="8" l="1"/>
  <c r="H193" i="8" s="1"/>
  <c r="I192" i="8"/>
  <c r="O192" i="8"/>
  <c r="N193" i="8" l="1"/>
  <c r="K192" i="8"/>
  <c r="J193" i="8" l="1"/>
  <c r="V192" i="8"/>
  <c r="U193" i="8" l="1"/>
  <c r="E192" i="8"/>
  <c r="T192" i="8" l="1"/>
  <c r="AM192" i="8" s="1"/>
  <c r="D193" i="8"/>
  <c r="R193" i="8" l="1"/>
  <c r="Z192" i="8"/>
  <c r="AK193" i="8" l="1"/>
  <c r="AL193" i="8"/>
  <c r="S193" i="8"/>
  <c r="W193" i="8"/>
  <c r="AJ193" i="8" l="1"/>
  <c r="G193" i="8" l="1"/>
  <c r="F194" i="8" l="1"/>
  <c r="H194" i="8" s="1"/>
  <c r="I193" i="8"/>
  <c r="O193" i="8"/>
  <c r="N194" i="8" l="1"/>
  <c r="K193" i="8"/>
  <c r="J194" i="8" l="1"/>
  <c r="V193" i="8"/>
  <c r="U194" i="8" l="1"/>
  <c r="E193" i="8"/>
  <c r="T193" i="8" l="1"/>
  <c r="AM193" i="8" s="1"/>
  <c r="D194" i="8"/>
  <c r="R194" i="8" l="1"/>
  <c r="Z193" i="8"/>
  <c r="AL194" i="8" l="1"/>
  <c r="AK194" i="8"/>
  <c r="S194" i="8"/>
  <c r="W194" i="8"/>
  <c r="AJ194" i="8" l="1"/>
  <c r="G194" i="8" l="1"/>
  <c r="O194" i="8" s="1"/>
  <c r="K194" i="8" s="1"/>
  <c r="J195" i="8" s="1"/>
  <c r="V194" i="8" l="1"/>
  <c r="F195" i="8"/>
  <c r="H195" i="8" s="1"/>
  <c r="I194" i="8"/>
  <c r="N195" i="8"/>
  <c r="U195" i="8" l="1"/>
  <c r="E194" i="8"/>
  <c r="T194" i="8" l="1"/>
  <c r="AM194" i="8" s="1"/>
  <c r="D195" i="8"/>
  <c r="R195" i="8" l="1"/>
  <c r="Z194" i="8"/>
  <c r="AK195" i="8" l="1"/>
  <c r="AL195" i="8"/>
  <c r="S195" i="8"/>
  <c r="W195" i="8"/>
  <c r="AJ195" i="8" l="1"/>
  <c r="G195" i="8" l="1"/>
  <c r="F196" i="8" l="1"/>
  <c r="H196" i="8" s="1"/>
  <c r="I195" i="8"/>
  <c r="O195" i="8"/>
  <c r="N196" i="8" l="1"/>
  <c r="K195" i="8"/>
  <c r="J196" i="8" l="1"/>
  <c r="V195" i="8"/>
  <c r="U196" i="8" l="1"/>
  <c r="E195" i="8"/>
  <c r="T195" i="8" l="1"/>
  <c r="AM195" i="8" s="1"/>
  <c r="D196" i="8"/>
  <c r="R196" i="8" l="1"/>
  <c r="Z195" i="8"/>
  <c r="S196" i="8" l="1"/>
  <c r="AJ196" i="8" s="1"/>
  <c r="G196" i="8" s="1"/>
  <c r="AN196" i="8"/>
  <c r="AL196" i="8" s="1"/>
  <c r="W196" i="8"/>
  <c r="AK196" i="8" l="1"/>
  <c r="F197" i="8"/>
  <c r="H197" i="8" s="1"/>
  <c r="I196" i="8"/>
  <c r="O196" i="8"/>
  <c r="N197" i="8" s="1"/>
  <c r="AN197" i="8"/>
  <c r="AN198" i="8" l="1"/>
  <c r="K196" i="8"/>
  <c r="J197" i="8" l="1"/>
  <c r="V196" i="8"/>
  <c r="AN199" i="8"/>
  <c r="AN200" i="8" l="1"/>
  <c r="AB189" i="8"/>
  <c r="AB190" i="8" s="1"/>
  <c r="AB191" i="8" s="1"/>
  <c r="AB192" i="8" s="1"/>
  <c r="AB193" i="8" s="1"/>
  <c r="AB194" i="8" s="1"/>
  <c r="AB195" i="8" s="1"/>
  <c r="AB196" i="8" s="1"/>
  <c r="AB197" i="8" s="1"/>
  <c r="AB198" i="8" s="1"/>
  <c r="AB199" i="8" s="1"/>
  <c r="AB200" i="8" s="1"/>
  <c r="U197" i="8"/>
  <c r="E196" i="8"/>
  <c r="T196" i="8" l="1"/>
  <c r="AM196" i="8" s="1"/>
  <c r="D197" i="8"/>
  <c r="R197" i="8" l="1"/>
  <c r="Z196" i="8"/>
  <c r="AK197" i="8" l="1"/>
  <c r="AL197" i="8"/>
  <c r="S197" i="8"/>
  <c r="W197" i="8"/>
  <c r="AJ197" i="8" l="1"/>
  <c r="G197" i="8" l="1"/>
  <c r="F198" i="8" l="1"/>
  <c r="H198" i="8" s="1"/>
  <c r="I197" i="8"/>
  <c r="O197" i="8"/>
  <c r="N198" i="8" l="1"/>
  <c r="K197" i="8"/>
  <c r="J198" i="8" l="1"/>
  <c r="V197" i="8"/>
  <c r="U198" i="8" l="1"/>
  <c r="E197" i="8"/>
  <c r="T197" i="8" l="1"/>
  <c r="AM197" i="8" s="1"/>
  <c r="D198" i="8"/>
  <c r="R198" i="8" l="1"/>
  <c r="Z197" i="8"/>
  <c r="AL198" i="8" l="1"/>
  <c r="AK198" i="8"/>
  <c r="S198" i="8"/>
  <c r="W198" i="8"/>
  <c r="AJ198" i="8" l="1"/>
  <c r="G198" i="8" l="1"/>
  <c r="O198" i="8" s="1"/>
  <c r="N199" i="8" l="1"/>
  <c r="F199" i="8"/>
  <c r="H199" i="8" s="1"/>
  <c r="I198" i="8"/>
  <c r="K198" i="8"/>
  <c r="J199" i="8" s="1"/>
  <c r="V198" i="8" l="1"/>
  <c r="U199" i="8" l="1"/>
  <c r="E198" i="8"/>
  <c r="T198" i="8" l="1"/>
  <c r="D199" i="8"/>
  <c r="R199" i="8" l="1"/>
  <c r="W199" i="8" s="1"/>
  <c r="Z198" i="8"/>
  <c r="AM198" i="8"/>
  <c r="AK199" i="8" l="1"/>
  <c r="AL199" i="8"/>
  <c r="S199" i="8"/>
  <c r="AJ199" i="8" l="1"/>
  <c r="G199" i="8" l="1"/>
  <c r="O199" i="8" l="1"/>
  <c r="F200" i="8"/>
  <c r="H200" i="8" s="1"/>
  <c r="I199" i="8"/>
  <c r="N200" i="8" l="1"/>
  <c r="K199" i="8"/>
  <c r="J200" i="8" l="1"/>
  <c r="V199" i="8"/>
  <c r="U200" i="8" l="1"/>
  <c r="E199" i="8"/>
  <c r="T199" i="8" l="1"/>
  <c r="AM199" i="8" s="1"/>
  <c r="D200" i="8"/>
  <c r="R200" i="8" l="1"/>
  <c r="Z199" i="8"/>
  <c r="AL200" i="8" l="1"/>
  <c r="AK200" i="8"/>
  <c r="S200" i="8"/>
  <c r="W200" i="8"/>
  <c r="AJ200" i="8" l="1"/>
  <c r="G200" i="8" l="1"/>
  <c r="O200" i="8" l="1"/>
  <c r="F201" i="8"/>
  <c r="H201" i="8" s="1"/>
  <c r="I200" i="8"/>
  <c r="N201" i="8" l="1"/>
  <c r="K200" i="8"/>
  <c r="J201" i="8" l="1"/>
  <c r="V200" i="8"/>
  <c r="U201" i="8" l="1"/>
  <c r="E200" i="8"/>
  <c r="T200" i="8" l="1"/>
  <c r="AM200" i="8" s="1"/>
  <c r="D201" i="8"/>
  <c r="R201" i="8" l="1"/>
  <c r="Z200" i="8"/>
  <c r="AA201" i="8" s="1"/>
  <c r="AA202" i="8" s="1"/>
  <c r="AA203" i="8" s="1"/>
  <c r="AA204" i="8" s="1"/>
  <c r="AA205" i="8" s="1"/>
  <c r="AA206" i="8" s="1"/>
  <c r="AA207" i="8" s="1"/>
  <c r="AA208" i="8" s="1"/>
  <c r="AA209" i="8" s="1"/>
  <c r="AA210" i="8" s="1"/>
  <c r="AA211" i="8" s="1"/>
  <c r="AA212" i="8" s="1"/>
  <c r="S201" i="8" l="1"/>
  <c r="AJ201" i="8" s="1"/>
  <c r="W201" i="8"/>
  <c r="G201" i="8" l="1"/>
  <c r="I201" i="8" s="1"/>
  <c r="AN201" i="8"/>
  <c r="AK201" i="8" l="1"/>
  <c r="AL201" i="8"/>
  <c r="O201" i="8"/>
  <c r="N202" i="8" s="1"/>
  <c r="F202" i="8"/>
  <c r="H202" i="8" s="1"/>
  <c r="AN202" i="8"/>
  <c r="K201" i="8" l="1"/>
  <c r="J202" i="8" s="1"/>
  <c r="AN203" i="8"/>
  <c r="V201" i="8" l="1"/>
  <c r="U202" i="8" s="1"/>
  <c r="AN204" i="8"/>
  <c r="E201" i="8" l="1"/>
  <c r="T201" i="8" s="1"/>
  <c r="AM201" i="8" s="1"/>
  <c r="AN205" i="8"/>
  <c r="D202" i="8" l="1"/>
  <c r="AN206" i="8"/>
  <c r="R202" i="8"/>
  <c r="Z201" i="8"/>
  <c r="AL202" i="8" l="1"/>
  <c r="AK202" i="8"/>
  <c r="S202" i="8"/>
  <c r="AN207" i="8"/>
  <c r="W202" i="8"/>
  <c r="AJ202" i="8" l="1"/>
  <c r="G202" i="8" l="1"/>
  <c r="O202" i="8" s="1"/>
  <c r="N203" i="8" l="1"/>
  <c r="K202" i="8"/>
  <c r="J203" i="8" s="1"/>
  <c r="F203" i="8"/>
  <c r="H203" i="8" s="1"/>
  <c r="I202" i="8"/>
  <c r="V202" i="8" l="1"/>
  <c r="U203" i="8" s="1"/>
  <c r="E202" i="8" l="1"/>
  <c r="T202" i="8" s="1"/>
  <c r="D203" i="8" l="1"/>
  <c r="R203" i="8"/>
  <c r="Z202" i="8"/>
  <c r="AM202" i="8"/>
  <c r="AK203" i="8" l="1"/>
  <c r="AL203" i="8"/>
  <c r="S203" i="8"/>
  <c r="W203" i="8"/>
  <c r="AJ203" i="8" l="1"/>
  <c r="G203" i="8" l="1"/>
  <c r="O203" i="8" s="1"/>
  <c r="N204" i="8" l="1"/>
  <c r="F204" i="8"/>
  <c r="H204" i="8" s="1"/>
  <c r="I203" i="8"/>
  <c r="K203" i="8"/>
  <c r="J204" i="8" l="1"/>
  <c r="V203" i="8"/>
  <c r="U204" i="8" l="1"/>
  <c r="E203" i="8"/>
  <c r="T203" i="8" l="1"/>
  <c r="AM203" i="8" s="1"/>
  <c r="D204" i="8"/>
  <c r="R204" i="8" l="1"/>
  <c r="Z203" i="8"/>
  <c r="AL204" i="8" l="1"/>
  <c r="AK204" i="8"/>
  <c r="S204" i="8"/>
  <c r="W204" i="8"/>
  <c r="AJ204" i="8" l="1"/>
  <c r="G204" i="8" l="1"/>
  <c r="F205" i="8" l="1"/>
  <c r="H205" i="8" s="1"/>
  <c r="I204" i="8"/>
  <c r="O204" i="8"/>
  <c r="N205" i="8" l="1"/>
  <c r="K204" i="8"/>
  <c r="J205" i="8" l="1"/>
  <c r="V204" i="8"/>
  <c r="U205" i="8" l="1"/>
  <c r="E204" i="8"/>
  <c r="T204" i="8" l="1"/>
  <c r="AM204" i="8" s="1"/>
  <c r="D205" i="8"/>
  <c r="R205" i="8" l="1"/>
  <c r="Z204" i="8"/>
  <c r="AK205" i="8" l="1"/>
  <c r="AL205" i="8"/>
  <c r="S205" i="8"/>
  <c r="W205" i="8"/>
  <c r="AJ205" i="8" l="1"/>
  <c r="G205" i="8" l="1"/>
  <c r="O205" i="8" l="1"/>
  <c r="F206" i="8"/>
  <c r="H206" i="8" s="1"/>
  <c r="I205" i="8"/>
  <c r="N206" i="8" l="1"/>
  <c r="K205" i="8"/>
  <c r="J206" i="8" l="1"/>
  <c r="V205" i="8"/>
  <c r="U206" i="8" l="1"/>
  <c r="E205" i="8"/>
  <c r="T205" i="8" l="1"/>
  <c r="AM205" i="8" s="1"/>
  <c r="D206" i="8"/>
  <c r="R206" i="8" l="1"/>
  <c r="Z205" i="8"/>
  <c r="AL206" i="8" l="1"/>
  <c r="AK206" i="8"/>
  <c r="S206" i="8"/>
  <c r="W206" i="8"/>
  <c r="AJ206" i="8" l="1"/>
  <c r="G206" i="8" l="1"/>
  <c r="O206" i="8" l="1"/>
  <c r="F207" i="8"/>
  <c r="H207" i="8" s="1"/>
  <c r="I206" i="8"/>
  <c r="N207" i="8" l="1"/>
  <c r="K206" i="8"/>
  <c r="J207" i="8" l="1"/>
  <c r="V206" i="8"/>
  <c r="U207" i="8" l="1"/>
  <c r="E206" i="8"/>
  <c r="T206" i="8" l="1"/>
  <c r="AM206" i="8" s="1"/>
  <c r="D207" i="8"/>
  <c r="R207" i="8" l="1"/>
  <c r="Z206" i="8"/>
  <c r="AK207" i="8" l="1"/>
  <c r="AL207" i="8"/>
  <c r="S207" i="8"/>
  <c r="W207" i="8"/>
  <c r="AJ207" i="8" l="1"/>
  <c r="G207" i="8" l="1"/>
  <c r="F208" i="8" l="1"/>
  <c r="H208" i="8" s="1"/>
  <c r="I207" i="8"/>
  <c r="O207" i="8"/>
  <c r="N208" i="8" l="1"/>
  <c r="K207" i="8"/>
  <c r="J208" i="8" l="1"/>
  <c r="V207" i="8"/>
  <c r="U208" i="8" l="1"/>
  <c r="E207" i="8"/>
  <c r="T207" i="8" l="1"/>
  <c r="AM207" i="8" s="1"/>
  <c r="D208" i="8"/>
  <c r="R208" i="8" l="1"/>
  <c r="Z207" i="8"/>
  <c r="S208" i="8" l="1"/>
  <c r="AJ208" i="8" s="1"/>
  <c r="G208" i="8" s="1"/>
  <c r="O208" i="8" s="1"/>
  <c r="N209" i="8" s="1"/>
  <c r="AN208" i="8"/>
  <c r="AL208" i="8" s="1"/>
  <c r="W208" i="8"/>
  <c r="AK208" i="8" l="1"/>
  <c r="F209" i="8"/>
  <c r="H209" i="8" s="1"/>
  <c r="I208" i="8"/>
  <c r="K208" i="8"/>
  <c r="J209" i="8" s="1"/>
  <c r="AN209" i="8"/>
  <c r="V208" i="8" l="1"/>
  <c r="U209" i="8" s="1"/>
  <c r="AN210" i="8"/>
  <c r="E208" i="8" l="1"/>
  <c r="T208" i="8" s="1"/>
  <c r="AN211" i="8"/>
  <c r="D209" i="8" l="1"/>
  <c r="R209" i="8"/>
  <c r="AM208" i="8"/>
  <c r="Z208" i="8"/>
  <c r="AN212" i="8"/>
  <c r="AB201" i="8"/>
  <c r="AB202" i="8" s="1"/>
  <c r="AB203" i="8" s="1"/>
  <c r="AB204" i="8" s="1"/>
  <c r="AB205" i="8" s="1"/>
  <c r="AB206" i="8" s="1"/>
  <c r="AB207" i="8" s="1"/>
  <c r="AB208" i="8" s="1"/>
  <c r="AB209" i="8" s="1"/>
  <c r="AB210" i="8" s="1"/>
  <c r="AB211" i="8" s="1"/>
  <c r="AB212" i="8" s="1"/>
  <c r="AK209" i="8" l="1"/>
  <c r="AL209" i="8"/>
  <c r="S209" i="8"/>
  <c r="W209" i="8"/>
  <c r="AJ209" i="8" l="1"/>
  <c r="G209" i="8" l="1"/>
  <c r="O209" i="8" s="1"/>
  <c r="N210" i="8" l="1"/>
  <c r="K209" i="8"/>
  <c r="J210" i="8" s="1"/>
  <c r="F210" i="8"/>
  <c r="H210" i="8" s="1"/>
  <c r="I209" i="8"/>
  <c r="V209" i="8" l="1"/>
  <c r="U210" i="8" s="1"/>
  <c r="E209" i="8" l="1"/>
  <c r="T209" i="8" s="1"/>
  <c r="D210" i="8" l="1"/>
  <c r="R210" i="8"/>
  <c r="Z209" i="8"/>
  <c r="AM209" i="8"/>
  <c r="AL210" i="8" l="1"/>
  <c r="AK210" i="8"/>
  <c r="S210" i="8"/>
  <c r="W210" i="8"/>
  <c r="AJ210" i="8" l="1"/>
  <c r="G210" i="8" l="1"/>
  <c r="F211" i="8" l="1"/>
  <c r="H211" i="8" s="1"/>
  <c r="I210" i="8"/>
  <c r="O210" i="8"/>
  <c r="N211" i="8" l="1"/>
  <c r="K210" i="8"/>
  <c r="J211" i="8" l="1"/>
  <c r="V210" i="8"/>
  <c r="U211" i="8" l="1"/>
  <c r="E210" i="8"/>
  <c r="T210" i="8" l="1"/>
  <c r="AM210" i="8" s="1"/>
  <c r="D211" i="8"/>
  <c r="R211" i="8" l="1"/>
  <c r="Z210" i="8"/>
  <c r="AK211" i="8" l="1"/>
  <c r="AL211" i="8"/>
  <c r="S211" i="8"/>
  <c r="W211" i="8"/>
  <c r="AJ211" i="8" l="1"/>
  <c r="G211" i="8" l="1"/>
  <c r="F212" i="8" l="1"/>
  <c r="H212" i="8" s="1"/>
  <c r="I211" i="8"/>
  <c r="O211" i="8"/>
  <c r="N212" i="8" l="1"/>
  <c r="K211" i="8"/>
  <c r="J212" i="8" l="1"/>
  <c r="V211" i="8"/>
  <c r="U212" i="8" l="1"/>
  <c r="E211" i="8"/>
  <c r="T211" i="8" l="1"/>
  <c r="AM211" i="8" s="1"/>
  <c r="D212" i="8"/>
  <c r="R212" i="8" l="1"/>
  <c r="Z211" i="8"/>
  <c r="AL212" i="8" l="1"/>
  <c r="AK212" i="8"/>
  <c r="S212" i="8"/>
  <c r="W212" i="8"/>
  <c r="AJ212" i="8" l="1"/>
  <c r="G212" i="8" l="1"/>
  <c r="F213" i="8" l="1"/>
  <c r="H213" i="8" s="1"/>
  <c r="I212" i="8"/>
  <c r="O212" i="8"/>
  <c r="N213" i="8" l="1"/>
  <c r="K212" i="8"/>
  <c r="J213" i="8" l="1"/>
  <c r="V212" i="8"/>
  <c r="U213" i="8" l="1"/>
  <c r="E212" i="8"/>
  <c r="T212" i="8" l="1"/>
  <c r="AM212" i="8" s="1"/>
  <c r="D213" i="8"/>
  <c r="R213" i="8" l="1"/>
  <c r="Z212" i="8"/>
  <c r="AA213" i="8" s="1"/>
  <c r="AA214" i="8" s="1"/>
  <c r="AA215" i="8" s="1"/>
  <c r="AA216" i="8" s="1"/>
  <c r="AA217" i="8" s="1"/>
  <c r="AA218" i="8" s="1"/>
  <c r="AA219" i="8" s="1"/>
  <c r="AA220" i="8" s="1"/>
  <c r="AA221" i="8" s="1"/>
  <c r="AA222" i="8" s="1"/>
  <c r="AA223" i="8" s="1"/>
  <c r="AA224" i="8" s="1"/>
  <c r="S213" i="8" l="1"/>
  <c r="AJ213" i="8" s="1"/>
  <c r="W213" i="8"/>
  <c r="G213" i="8" l="1"/>
  <c r="F214" i="8" s="1"/>
  <c r="H214" i="8" s="1"/>
  <c r="AN213" i="8"/>
  <c r="O213" i="8" l="1"/>
  <c r="N214" i="8" s="1"/>
  <c r="AK213" i="8"/>
  <c r="AL213" i="8"/>
  <c r="I213" i="8"/>
  <c r="AN214" i="8"/>
  <c r="K213" i="8" l="1"/>
  <c r="J214" i="8" s="1"/>
  <c r="AN215" i="8"/>
  <c r="V213" i="8" l="1"/>
  <c r="U214" i="8" s="1"/>
  <c r="AN216" i="8"/>
  <c r="E213" i="8" l="1"/>
  <c r="T213" i="8" s="1"/>
  <c r="AM213" i="8" s="1"/>
  <c r="AN217" i="8"/>
  <c r="D214" i="8" l="1"/>
  <c r="AN219" i="8"/>
  <c r="AN218" i="8"/>
  <c r="R214" i="8"/>
  <c r="Z213" i="8"/>
  <c r="AL214" i="8" l="1"/>
  <c r="AK214" i="8"/>
  <c r="S214" i="8"/>
  <c r="W214" i="8"/>
  <c r="AJ214" i="8" l="1"/>
  <c r="G214" i="8" l="1"/>
  <c r="O214" i="8" l="1"/>
  <c r="F215" i="8"/>
  <c r="H215" i="8" s="1"/>
  <c r="I214" i="8"/>
  <c r="N215" i="8" l="1"/>
  <c r="K214" i="8"/>
  <c r="J215" i="8" l="1"/>
  <c r="V214" i="8"/>
  <c r="U215" i="8" l="1"/>
  <c r="E214" i="8"/>
  <c r="T214" i="8" l="1"/>
  <c r="AM214" i="8" s="1"/>
  <c r="D215" i="8"/>
  <c r="R215" i="8" l="1"/>
  <c r="Z214" i="8"/>
  <c r="AK215" i="8" l="1"/>
  <c r="AL215" i="8"/>
  <c r="S215" i="8"/>
  <c r="W215" i="8"/>
  <c r="AJ215" i="8" l="1"/>
  <c r="G215" i="8" l="1"/>
  <c r="O215" i="8" s="1"/>
  <c r="N216" i="8" l="1"/>
  <c r="K215" i="8"/>
  <c r="J216" i="8" s="1"/>
  <c r="F216" i="8"/>
  <c r="H216" i="8" s="1"/>
  <c r="I215" i="8"/>
  <c r="V215" i="8" l="1"/>
  <c r="U216" i="8" s="1"/>
  <c r="E215" i="8" l="1"/>
  <c r="D216" i="8" s="1"/>
  <c r="T215" i="8" l="1"/>
  <c r="AM215" i="8" s="1"/>
  <c r="Z215" i="8" l="1"/>
  <c r="R216" i="8"/>
  <c r="AL216" i="8" l="1"/>
  <c r="AK216" i="8"/>
  <c r="W216" i="8"/>
  <c r="S216" i="8"/>
  <c r="AJ216" i="8" s="1"/>
  <c r="G216" i="8" l="1"/>
  <c r="F217" i="8" l="1"/>
  <c r="H217" i="8" s="1"/>
  <c r="I216" i="8"/>
  <c r="O216" i="8"/>
  <c r="N217" i="8" l="1"/>
  <c r="K216" i="8"/>
  <c r="J217" i="8" l="1"/>
  <c r="V216" i="8"/>
  <c r="U217" i="8" l="1"/>
  <c r="E216" i="8"/>
  <c r="T216" i="8" l="1"/>
  <c r="AM216" i="8" s="1"/>
  <c r="D217" i="8"/>
  <c r="R217" i="8" l="1"/>
  <c r="Z216" i="8"/>
  <c r="AK217" i="8" l="1"/>
  <c r="AL217" i="8"/>
  <c r="S217" i="8"/>
  <c r="W217" i="8"/>
  <c r="AJ217" i="8" l="1"/>
  <c r="G217" i="8" l="1"/>
  <c r="F218" i="8" l="1"/>
  <c r="H218" i="8" s="1"/>
  <c r="I217" i="8"/>
  <c r="O217" i="8"/>
  <c r="N218" i="8" l="1"/>
  <c r="K217" i="8"/>
  <c r="J218" i="8" l="1"/>
  <c r="V217" i="8"/>
  <c r="U218" i="8" l="1"/>
  <c r="E217" i="8"/>
  <c r="T217" i="8" l="1"/>
  <c r="AM217" i="8" s="1"/>
  <c r="D218" i="8"/>
  <c r="R218" i="8" l="1"/>
  <c r="Z217" i="8"/>
  <c r="AL218" i="8" l="1"/>
  <c r="AK218" i="8"/>
  <c r="S218" i="8"/>
  <c r="W218" i="8"/>
  <c r="AJ218" i="8" l="1"/>
  <c r="G218" i="8" l="1"/>
  <c r="O218" i="8" l="1"/>
  <c r="F219" i="8"/>
  <c r="H219" i="8" s="1"/>
  <c r="I218" i="8"/>
  <c r="N219" i="8" l="1"/>
  <c r="K218" i="8"/>
  <c r="J219" i="8" l="1"/>
  <c r="V218" i="8"/>
  <c r="U219" i="8" l="1"/>
  <c r="E218" i="8"/>
  <c r="T218" i="8" l="1"/>
  <c r="AM218" i="8" s="1"/>
  <c r="D219" i="8"/>
  <c r="R219" i="8" l="1"/>
  <c r="Z218" i="8"/>
  <c r="AK219" i="8" l="1"/>
  <c r="AL219" i="8"/>
  <c r="S219" i="8"/>
  <c r="W219" i="8"/>
  <c r="AJ219" i="8" l="1"/>
  <c r="G219" i="8" l="1"/>
  <c r="F220" i="8" l="1"/>
  <c r="H220" i="8" s="1"/>
  <c r="I219" i="8"/>
  <c r="O219" i="8"/>
  <c r="N220" i="8" l="1"/>
  <c r="K219" i="8"/>
  <c r="J220" i="8" l="1"/>
  <c r="V219" i="8"/>
  <c r="U220" i="8" l="1"/>
  <c r="E219" i="8"/>
  <c r="T219" i="8" l="1"/>
  <c r="AM219" i="8" s="1"/>
  <c r="D220" i="8"/>
  <c r="R220" i="8" l="1"/>
  <c r="Z219" i="8"/>
  <c r="S220" i="8" l="1"/>
  <c r="AJ220" i="8" s="1"/>
  <c r="G220" i="8" s="1"/>
  <c r="AN220" i="8"/>
  <c r="AL220" i="8" s="1"/>
  <c r="W220" i="8"/>
  <c r="AK220" i="8" l="1"/>
  <c r="O220" i="8"/>
  <c r="N221" i="8" s="1"/>
  <c r="F221" i="8"/>
  <c r="H221" i="8" s="1"/>
  <c r="I220" i="8"/>
  <c r="AN221" i="8"/>
  <c r="K220" i="8" l="1"/>
  <c r="J221" i="8" s="1"/>
  <c r="AN222" i="8"/>
  <c r="V220" i="8" l="1"/>
  <c r="AN223" i="8"/>
  <c r="U221" i="8" l="1"/>
  <c r="E220" i="8"/>
  <c r="AN224" i="8"/>
  <c r="AB213" i="8"/>
  <c r="AB214" i="8" s="1"/>
  <c r="AB215" i="8" s="1"/>
  <c r="AB216" i="8" s="1"/>
  <c r="AB217" i="8" s="1"/>
  <c r="AB218" i="8" s="1"/>
  <c r="AB219" i="8" s="1"/>
  <c r="AB220" i="8" s="1"/>
  <c r="AB221" i="8" s="1"/>
  <c r="AB222" i="8" s="1"/>
  <c r="AB223" i="8" s="1"/>
  <c r="AB224" i="8" s="1"/>
  <c r="D221" i="8" l="1"/>
  <c r="T220" i="8"/>
  <c r="Z220" i="8" l="1"/>
  <c r="R221" i="8"/>
  <c r="AM220" i="8"/>
  <c r="AK221" i="8" l="1"/>
  <c r="AL221" i="8"/>
  <c r="S221" i="8"/>
  <c r="AJ221" i="8" s="1"/>
  <c r="G221" i="8" s="1"/>
  <c r="W221" i="8"/>
  <c r="O221" i="8" l="1"/>
  <c r="F222" i="8"/>
  <c r="H222" i="8" s="1"/>
  <c r="I221" i="8"/>
  <c r="K221" i="8" l="1"/>
  <c r="N222" i="8"/>
  <c r="J222" i="8" l="1"/>
  <c r="V221" i="8"/>
  <c r="U222" i="8" l="1"/>
  <c r="E221" i="8"/>
  <c r="T221" i="8" l="1"/>
  <c r="AM221" i="8" s="1"/>
  <c r="D222" i="8"/>
  <c r="R222" i="8" l="1"/>
  <c r="Z221" i="8"/>
  <c r="AL222" i="8" l="1"/>
  <c r="AK222" i="8"/>
  <c r="S222" i="8"/>
  <c r="W222" i="8"/>
  <c r="AJ222" i="8" l="1"/>
  <c r="G222" i="8" l="1"/>
  <c r="O222" i="8" l="1"/>
  <c r="F223" i="8"/>
  <c r="H223" i="8" s="1"/>
  <c r="I222" i="8"/>
  <c r="N223" i="8" l="1"/>
  <c r="K222" i="8"/>
  <c r="J223" i="8" l="1"/>
  <c r="V222" i="8"/>
  <c r="U223" i="8" l="1"/>
  <c r="E222" i="8"/>
  <c r="T222" i="8" l="1"/>
  <c r="AM222" i="8" s="1"/>
  <c r="D223" i="8"/>
  <c r="R223" i="8" l="1"/>
  <c r="Z222" i="8"/>
  <c r="AK223" i="8" l="1"/>
  <c r="AL223" i="8"/>
  <c r="S223" i="8"/>
  <c r="W223" i="8"/>
  <c r="AJ223" i="8" l="1"/>
  <c r="G223" i="8" l="1"/>
  <c r="F224" i="8" l="1"/>
  <c r="H224" i="8" s="1"/>
  <c r="I223" i="8"/>
  <c r="O223" i="8"/>
  <c r="N224" i="8" l="1"/>
  <c r="K223" i="8"/>
  <c r="J224" i="8" l="1"/>
  <c r="V223" i="8"/>
  <c r="U224" i="8" l="1"/>
  <c r="E223" i="8"/>
  <c r="T223" i="8" l="1"/>
  <c r="AM223" i="8" s="1"/>
  <c r="D224" i="8"/>
  <c r="R224" i="8" l="1"/>
  <c r="Z223" i="8"/>
  <c r="AL224" i="8" l="1"/>
  <c r="AK224" i="8"/>
  <c r="S224" i="8"/>
  <c r="W224" i="8"/>
  <c r="AJ224" i="8" l="1"/>
  <c r="G224" i="8" l="1"/>
  <c r="F225" i="8" l="1"/>
  <c r="H225" i="8" s="1"/>
  <c r="I224" i="8"/>
  <c r="O224" i="8"/>
  <c r="N225" i="8" l="1"/>
  <c r="K224" i="8"/>
  <c r="J225" i="8" l="1"/>
  <c r="V224" i="8"/>
  <c r="U225" i="8" l="1"/>
  <c r="E224" i="8"/>
  <c r="T224" i="8" l="1"/>
  <c r="AM224" i="8" s="1"/>
  <c r="D225" i="8"/>
  <c r="R225" i="8" l="1"/>
  <c r="Z224" i="8"/>
  <c r="AA225" i="8" s="1"/>
  <c r="AA226" i="8" s="1"/>
  <c r="AA227" i="8" s="1"/>
  <c r="AA228" i="8" s="1"/>
  <c r="AA229" i="8" s="1"/>
  <c r="AA230" i="8" s="1"/>
  <c r="AA231" i="8" s="1"/>
  <c r="AA232" i="8" s="1"/>
  <c r="AA233" i="8" s="1"/>
  <c r="AA234" i="8" s="1"/>
  <c r="AA235" i="8" s="1"/>
  <c r="AA236" i="8" s="1"/>
  <c r="S225" i="8" l="1"/>
  <c r="AJ225" i="8" s="1"/>
  <c r="W225" i="8"/>
  <c r="G225" i="8" l="1"/>
  <c r="I225" i="8" s="1"/>
  <c r="AN225" i="8"/>
  <c r="AK225" i="8" l="1"/>
  <c r="AL225" i="8"/>
  <c r="F226" i="8"/>
  <c r="H226" i="8" s="1"/>
  <c r="O225" i="8"/>
  <c r="N226" i="8" s="1"/>
  <c r="AN226" i="8"/>
  <c r="K225" i="8" l="1"/>
  <c r="J226" i="8" s="1"/>
  <c r="AN227" i="8"/>
  <c r="V225" i="8" l="1"/>
  <c r="U226" i="8" s="1"/>
  <c r="AN228" i="8"/>
  <c r="E225" i="8" l="1"/>
  <c r="T225" i="8" s="1"/>
  <c r="AM225" i="8" s="1"/>
  <c r="AN229" i="8"/>
  <c r="D226" i="8" l="1"/>
  <c r="AN230" i="8"/>
  <c r="AN231" i="8"/>
  <c r="R226" i="8"/>
  <c r="Z225" i="8"/>
  <c r="W226" i="8" l="1"/>
  <c r="AL226" i="8"/>
  <c r="AK226" i="8"/>
  <c r="S226" i="8"/>
  <c r="AJ226" i="8" l="1"/>
  <c r="G226" i="8" l="1"/>
  <c r="O226" i="8" l="1"/>
  <c r="F227" i="8"/>
  <c r="H227" i="8" s="1"/>
  <c r="I226" i="8"/>
  <c r="N227" i="8" l="1"/>
  <c r="K226" i="8"/>
  <c r="J227" i="8" l="1"/>
  <c r="V226" i="8"/>
  <c r="U227" i="8" l="1"/>
  <c r="E226" i="8"/>
  <c r="T226" i="8" l="1"/>
  <c r="AM226" i="8" s="1"/>
  <c r="D227" i="8"/>
  <c r="R227" i="8" l="1"/>
  <c r="Z226" i="8"/>
  <c r="AK227" i="8" l="1"/>
  <c r="AL227" i="8"/>
  <c r="S227" i="8"/>
  <c r="W227" i="8"/>
  <c r="AJ227" i="8" l="1"/>
  <c r="G227" i="8" l="1"/>
  <c r="O227" i="8" s="1"/>
  <c r="N228" i="8" l="1"/>
  <c r="F228" i="8"/>
  <c r="H228" i="8" s="1"/>
  <c r="I227" i="8"/>
  <c r="K227" i="8"/>
  <c r="J228" i="8" s="1"/>
  <c r="V227" i="8" l="1"/>
  <c r="U228" i="8" l="1"/>
  <c r="E227" i="8"/>
  <c r="T227" i="8" l="1"/>
  <c r="AM227" i="8" s="1"/>
  <c r="D228" i="8"/>
  <c r="R228" i="8" l="1"/>
  <c r="Z227" i="8"/>
  <c r="W228" i="8" l="1"/>
  <c r="AL228" i="8"/>
  <c r="AK228" i="8"/>
  <c r="S228" i="8"/>
  <c r="AJ228" i="8" l="1"/>
  <c r="G228" i="8" l="1"/>
  <c r="O228" i="8" s="1"/>
  <c r="N229" i="8" l="1"/>
  <c r="K228" i="8"/>
  <c r="J229" i="8" s="1"/>
  <c r="F229" i="8"/>
  <c r="H229" i="8" s="1"/>
  <c r="I228" i="8"/>
  <c r="V228" i="8" l="1"/>
  <c r="U229" i="8" s="1"/>
  <c r="E228" i="8" l="1"/>
  <c r="T228" i="8" s="1"/>
  <c r="D229" i="8" l="1"/>
  <c r="R229" i="8"/>
  <c r="AM228" i="8"/>
  <c r="Z228" i="8"/>
  <c r="AK229" i="8" l="1"/>
  <c r="AL229" i="8"/>
  <c r="S229" i="8"/>
  <c r="W229" i="8"/>
  <c r="AJ229" i="8" l="1"/>
  <c r="G229" i="8" l="1"/>
  <c r="F230" i="8" l="1"/>
  <c r="H230" i="8" s="1"/>
  <c r="I229" i="8"/>
  <c r="O229" i="8"/>
  <c r="N230" i="8" l="1"/>
  <c r="K229" i="8"/>
  <c r="J230" i="8" l="1"/>
  <c r="V229" i="8"/>
  <c r="U230" i="8" l="1"/>
  <c r="E229" i="8"/>
  <c r="T229" i="8" l="1"/>
  <c r="AM229" i="8" s="1"/>
  <c r="D230" i="8"/>
  <c r="R230" i="8" l="1"/>
  <c r="Z229" i="8"/>
  <c r="AL230" i="8" l="1"/>
  <c r="AK230" i="8"/>
  <c r="S230" i="8"/>
  <c r="W230" i="8"/>
  <c r="AJ230" i="8" l="1"/>
  <c r="G230" i="8" l="1"/>
  <c r="F231" i="8" l="1"/>
  <c r="H231" i="8" s="1"/>
  <c r="I230" i="8"/>
  <c r="O230" i="8"/>
  <c r="N231" i="8" l="1"/>
  <c r="K230" i="8"/>
  <c r="J231" i="8" l="1"/>
  <c r="V230" i="8"/>
  <c r="U231" i="8" l="1"/>
  <c r="E230" i="8"/>
  <c r="T230" i="8" l="1"/>
  <c r="AM230" i="8" s="1"/>
  <c r="D231" i="8"/>
  <c r="R231" i="8" l="1"/>
  <c r="Z230" i="8"/>
  <c r="AK231" i="8" l="1"/>
  <c r="AL231" i="8"/>
  <c r="S231" i="8"/>
  <c r="W231" i="8"/>
  <c r="AJ231" i="8" l="1"/>
  <c r="G231" i="8" l="1"/>
  <c r="F232" i="8" l="1"/>
  <c r="H232" i="8" s="1"/>
  <c r="I231" i="8"/>
  <c r="O231" i="8"/>
  <c r="N232" i="8" l="1"/>
  <c r="K231" i="8"/>
  <c r="J232" i="8" l="1"/>
  <c r="V231" i="8"/>
  <c r="U232" i="8" l="1"/>
  <c r="E231" i="8"/>
  <c r="T231" i="8" l="1"/>
  <c r="AM231" i="8" s="1"/>
  <c r="D232" i="8"/>
  <c r="R232" i="8" l="1"/>
  <c r="Z231" i="8"/>
  <c r="S232" i="8" l="1"/>
  <c r="AJ232" i="8" s="1"/>
  <c r="G232" i="8" s="1"/>
  <c r="O232" i="8" s="1"/>
  <c r="N233" i="8" s="1"/>
  <c r="AN232" i="8"/>
  <c r="AL232" i="8" s="1"/>
  <c r="W232" i="8"/>
  <c r="AK232" i="8" l="1"/>
  <c r="K232" i="8"/>
  <c r="J233" i="8" s="1"/>
  <c r="F233" i="8"/>
  <c r="H233" i="8" s="1"/>
  <c r="I232" i="8"/>
  <c r="AN233" i="8"/>
  <c r="V232" i="8" l="1"/>
  <c r="U233" i="8" s="1"/>
  <c r="AN234" i="8"/>
  <c r="E232" i="8" l="1"/>
  <c r="T232" i="8" s="1"/>
  <c r="AN235" i="8"/>
  <c r="D233" i="8" l="1"/>
  <c r="R233" i="8"/>
  <c r="AM232" i="8"/>
  <c r="Z232" i="8"/>
  <c r="AN236" i="8"/>
  <c r="AB225" i="8"/>
  <c r="AB226" i="8" s="1"/>
  <c r="AB227" i="8" s="1"/>
  <c r="AB228" i="8" s="1"/>
  <c r="AB229" i="8" s="1"/>
  <c r="AB230" i="8" s="1"/>
  <c r="AB231" i="8" s="1"/>
  <c r="AB232" i="8" s="1"/>
  <c r="AB233" i="8" s="1"/>
  <c r="AB234" i="8" s="1"/>
  <c r="AB235" i="8" s="1"/>
  <c r="AB236" i="8" s="1"/>
  <c r="AK233" i="8" l="1"/>
  <c r="AL233" i="8"/>
  <c r="S233" i="8"/>
  <c r="W233" i="8"/>
  <c r="AJ233" i="8" l="1"/>
  <c r="G233" i="8" l="1"/>
  <c r="O233" i="8" l="1"/>
  <c r="F234" i="8"/>
  <c r="H234" i="8" s="1"/>
  <c r="I233" i="8"/>
  <c r="N234" i="8" l="1"/>
  <c r="K233" i="8"/>
  <c r="J234" i="8" l="1"/>
  <c r="V233" i="8"/>
  <c r="E233" i="8" l="1"/>
  <c r="U234" i="8"/>
  <c r="T233" i="8" l="1"/>
  <c r="AM233" i="8" s="1"/>
  <c r="D234" i="8"/>
  <c r="R234" i="8" l="1"/>
  <c r="Z233" i="8"/>
  <c r="AL234" i="8" l="1"/>
  <c r="AK234" i="8"/>
  <c r="S234" i="8"/>
  <c r="W234" i="8"/>
  <c r="AJ234" i="8" l="1"/>
  <c r="G234" i="8" l="1"/>
  <c r="O234" i="8" s="1"/>
  <c r="K234" i="8" s="1"/>
  <c r="J235" i="8" s="1"/>
  <c r="N235" i="8" l="1"/>
  <c r="F235" i="8"/>
  <c r="H235" i="8" s="1"/>
  <c r="I234" i="8"/>
  <c r="V234" i="8"/>
  <c r="U235" i="8" l="1"/>
  <c r="E234" i="8"/>
  <c r="T234" i="8" l="1"/>
  <c r="AM234" i="8" s="1"/>
  <c r="D235" i="8"/>
  <c r="R235" i="8" l="1"/>
  <c r="Z234" i="8"/>
  <c r="AK235" i="8" l="1"/>
  <c r="AL235" i="8"/>
  <c r="S235" i="8"/>
  <c r="W235" i="8"/>
  <c r="AJ235" i="8" l="1"/>
  <c r="G235" i="8" l="1"/>
  <c r="O235" i="8" l="1"/>
  <c r="F236" i="8"/>
  <c r="H236" i="8" s="1"/>
  <c r="I235" i="8"/>
  <c r="N236" i="8" l="1"/>
  <c r="K235" i="8"/>
  <c r="J236" i="8" l="1"/>
  <c r="V235" i="8"/>
  <c r="U236" i="8" l="1"/>
  <c r="E235" i="8"/>
  <c r="T235" i="8" l="1"/>
  <c r="AM235" i="8" s="1"/>
  <c r="D236" i="8"/>
  <c r="R236" i="8" l="1"/>
  <c r="Z235" i="8"/>
  <c r="AL236" i="8" l="1"/>
  <c r="AK236" i="8"/>
  <c r="S236" i="8"/>
  <c r="W236" i="8"/>
  <c r="AJ236" i="8" l="1"/>
  <c r="G236" i="8" l="1"/>
  <c r="F237" i="8" l="1"/>
  <c r="H237" i="8" s="1"/>
  <c r="I236" i="8"/>
  <c r="O236" i="8"/>
  <c r="N237" i="8" l="1"/>
  <c r="K236" i="8"/>
  <c r="J237" i="8" l="1"/>
  <c r="V236" i="8"/>
  <c r="U237" i="8" l="1"/>
  <c r="E236" i="8"/>
  <c r="T236" i="8" l="1"/>
  <c r="AM236" i="8" s="1"/>
  <c r="D237" i="8"/>
  <c r="R237" i="8" l="1"/>
  <c r="Z236" i="8"/>
  <c r="AA237" i="8" s="1"/>
  <c r="AA238" i="8" s="1"/>
  <c r="AA239" i="8" s="1"/>
  <c r="AA240" i="8" s="1"/>
  <c r="AA241" i="8" s="1"/>
  <c r="AA242" i="8" s="1"/>
  <c r="AA243" i="8" s="1"/>
  <c r="AA244" i="8" s="1"/>
  <c r="AA245" i="8" s="1"/>
  <c r="AA246" i="8" s="1"/>
  <c r="AA247" i="8" s="1"/>
  <c r="AA248" i="8" s="1"/>
  <c r="S237" i="8" l="1"/>
  <c r="AJ237" i="8" s="1"/>
  <c r="W237" i="8"/>
  <c r="G237" i="8" l="1"/>
  <c r="F238" i="8" s="1"/>
  <c r="H238" i="8" s="1"/>
  <c r="AN237" i="8"/>
  <c r="AK237" i="8" l="1"/>
  <c r="AL237" i="8"/>
  <c r="O237" i="8"/>
  <c r="N238" i="8" s="1"/>
  <c r="I237" i="8"/>
  <c r="AN238" i="8"/>
  <c r="K237" i="8" l="1"/>
  <c r="J238" i="8" s="1"/>
  <c r="AN239" i="8"/>
  <c r="V237" i="8" l="1"/>
  <c r="U238" i="8" s="1"/>
  <c r="AN240" i="8"/>
  <c r="E237" i="8" l="1"/>
  <c r="T237" i="8" s="1"/>
  <c r="AN241" i="8"/>
  <c r="D238" i="8" l="1"/>
  <c r="R238" i="8"/>
  <c r="Z237" i="8"/>
  <c r="AM237" i="8"/>
  <c r="AN242" i="8"/>
  <c r="AN243" i="8"/>
  <c r="W238" i="8" l="1"/>
  <c r="AL238" i="8"/>
  <c r="AK238" i="8"/>
  <c r="S238" i="8"/>
  <c r="AJ238" i="8" l="1"/>
  <c r="G238" i="8" l="1"/>
  <c r="O238" i="8" l="1"/>
  <c r="F239" i="8"/>
  <c r="H239" i="8" s="1"/>
  <c r="I238" i="8"/>
  <c r="N239" i="8" l="1"/>
  <c r="K238" i="8"/>
  <c r="J239" i="8" l="1"/>
  <c r="V238" i="8"/>
  <c r="U239" i="8" l="1"/>
  <c r="E238" i="8"/>
  <c r="T238" i="8" l="1"/>
  <c r="AM238" i="8" s="1"/>
  <c r="D239" i="8"/>
  <c r="R239" i="8" l="1"/>
  <c r="Z238" i="8"/>
  <c r="AK239" i="8" l="1"/>
  <c r="AL239" i="8"/>
  <c r="S239" i="8"/>
  <c r="W239" i="8"/>
  <c r="AJ239" i="8" l="1"/>
  <c r="G239" i="8" l="1"/>
  <c r="F240" i="8" l="1"/>
  <c r="H240" i="8" s="1"/>
  <c r="I239" i="8"/>
  <c r="O239" i="8"/>
  <c r="N240" i="8" l="1"/>
  <c r="K239" i="8"/>
  <c r="J240" i="8" l="1"/>
  <c r="V239" i="8"/>
  <c r="U240" i="8" l="1"/>
  <c r="E239" i="8"/>
  <c r="T239" i="8" l="1"/>
  <c r="AM239" i="8" s="1"/>
  <c r="D240" i="8"/>
  <c r="R240" i="8" l="1"/>
  <c r="Z239" i="8"/>
  <c r="AL240" i="8" l="1"/>
  <c r="AK240" i="8"/>
  <c r="S240" i="8"/>
  <c r="W240" i="8"/>
  <c r="AJ240" i="8" l="1"/>
  <c r="G240" i="8" l="1"/>
  <c r="O240" i="8" l="1"/>
  <c r="F241" i="8"/>
  <c r="H241" i="8" s="1"/>
  <c r="I240" i="8"/>
  <c r="N241" i="8" l="1"/>
  <c r="K240" i="8"/>
  <c r="J241" i="8" l="1"/>
  <c r="V240" i="8"/>
  <c r="U241" i="8" l="1"/>
  <c r="E240" i="8"/>
  <c r="T240" i="8" l="1"/>
  <c r="AM240" i="8" s="1"/>
  <c r="D241" i="8"/>
  <c r="R241" i="8" l="1"/>
  <c r="Z240" i="8"/>
  <c r="AK241" i="8" l="1"/>
  <c r="AL241" i="8"/>
  <c r="S241" i="8"/>
  <c r="W241" i="8"/>
  <c r="AJ241" i="8" l="1"/>
  <c r="G241" i="8" l="1"/>
  <c r="F242" i="8" l="1"/>
  <c r="H242" i="8" s="1"/>
  <c r="I241" i="8"/>
  <c r="O241" i="8"/>
  <c r="N242" i="8" l="1"/>
  <c r="K241" i="8"/>
  <c r="J242" i="8" l="1"/>
  <c r="V241" i="8"/>
  <c r="U242" i="8" l="1"/>
  <c r="E241" i="8"/>
  <c r="T241" i="8" l="1"/>
  <c r="AM241" i="8" s="1"/>
  <c r="D242" i="8"/>
  <c r="R242" i="8" l="1"/>
  <c r="Z241" i="8"/>
  <c r="AL242" i="8" l="1"/>
  <c r="AK242" i="8"/>
  <c r="S242" i="8"/>
  <c r="W242" i="8"/>
  <c r="AJ242" i="8" l="1"/>
  <c r="G242" i="8" l="1"/>
  <c r="F243" i="8" l="1"/>
  <c r="H243" i="8" s="1"/>
  <c r="I242" i="8"/>
  <c r="O242" i="8"/>
  <c r="N243" i="8" l="1"/>
  <c r="K242" i="8"/>
  <c r="J243" i="8" l="1"/>
  <c r="V242" i="8"/>
  <c r="U243" i="8" l="1"/>
  <c r="E242" i="8"/>
  <c r="T242" i="8" l="1"/>
  <c r="AM242" i="8" s="1"/>
  <c r="D243" i="8"/>
  <c r="R243" i="8" l="1"/>
  <c r="Z242" i="8"/>
  <c r="AK243" i="8" l="1"/>
  <c r="AL243" i="8"/>
  <c r="S243" i="8"/>
  <c r="W243" i="8"/>
  <c r="AJ243" i="8" l="1"/>
  <c r="G243" i="8" l="1"/>
  <c r="F244" i="8" l="1"/>
  <c r="H244" i="8" s="1"/>
  <c r="I243" i="8"/>
  <c r="O243" i="8"/>
  <c r="N244" i="8" l="1"/>
  <c r="K243" i="8"/>
  <c r="J244" i="8" l="1"/>
  <c r="V243" i="8"/>
  <c r="U244" i="8" l="1"/>
  <c r="E243" i="8"/>
  <c r="T243" i="8" l="1"/>
  <c r="AM243" i="8" s="1"/>
  <c r="D244" i="8"/>
  <c r="R244" i="8" l="1"/>
  <c r="Z243" i="8"/>
  <c r="S244" i="8" l="1"/>
  <c r="AJ244" i="8" s="1"/>
  <c r="G244" i="8" s="1"/>
  <c r="AN244" i="8"/>
  <c r="AL244" i="8" s="1"/>
  <c r="W244" i="8"/>
  <c r="AK244" i="8" l="1"/>
  <c r="AN245" i="8"/>
  <c r="O244" i="8"/>
  <c r="N245" i="8" s="1"/>
  <c r="F245" i="8"/>
  <c r="H245" i="8" s="1"/>
  <c r="I244" i="8"/>
  <c r="AN246" i="8" l="1"/>
  <c r="K244" i="8"/>
  <c r="J245" i="8" l="1"/>
  <c r="V244" i="8"/>
  <c r="AN247" i="8"/>
  <c r="AN248" i="8" l="1"/>
  <c r="AB237" i="8"/>
  <c r="AB238" i="8" s="1"/>
  <c r="AB239" i="8" s="1"/>
  <c r="AB240" i="8" s="1"/>
  <c r="AB241" i="8" s="1"/>
  <c r="AB242" i="8" s="1"/>
  <c r="AB243" i="8" s="1"/>
  <c r="AB244" i="8" s="1"/>
  <c r="AB245" i="8" s="1"/>
  <c r="AB246" i="8" s="1"/>
  <c r="AB247" i="8" s="1"/>
  <c r="AB248" i="8" s="1"/>
  <c r="U245" i="8"/>
  <c r="E244" i="8"/>
  <c r="T244" i="8" l="1"/>
  <c r="AM244" i="8" s="1"/>
  <c r="D245" i="8"/>
  <c r="R245" i="8" l="1"/>
  <c r="Z244" i="8"/>
  <c r="AK245" i="8" l="1"/>
  <c r="AL245" i="8"/>
  <c r="S245" i="8"/>
  <c r="W245" i="8"/>
  <c r="AJ245" i="8" l="1"/>
  <c r="G245" i="8" l="1"/>
  <c r="O245" i="8" s="1"/>
  <c r="K245" i="8" s="1"/>
  <c r="J246" i="8" s="1"/>
  <c r="V245" i="8" l="1"/>
  <c r="E245" i="8" s="1"/>
  <c r="N246" i="8"/>
  <c r="F246" i="8"/>
  <c r="H246" i="8" s="1"/>
  <c r="I245" i="8"/>
  <c r="U246" i="8" l="1"/>
  <c r="T245" i="8"/>
  <c r="D246" i="8"/>
  <c r="R246" i="8" l="1"/>
  <c r="Z245" i="8"/>
  <c r="AM245" i="8"/>
  <c r="AL246" i="8" l="1"/>
  <c r="AK246" i="8"/>
  <c r="S246" i="8"/>
  <c r="W246" i="8"/>
  <c r="AJ246" i="8" l="1"/>
  <c r="G246" i="8" l="1"/>
  <c r="O246" i="8" l="1"/>
  <c r="F247" i="8"/>
  <c r="H247" i="8" s="1"/>
  <c r="I246" i="8"/>
  <c r="N247" i="8" l="1"/>
  <c r="K246" i="8"/>
  <c r="J247" i="8" l="1"/>
  <c r="V246" i="8"/>
  <c r="U247" i="8" l="1"/>
  <c r="E246" i="8"/>
  <c r="T246" i="8" l="1"/>
  <c r="AM246" i="8" s="1"/>
  <c r="D247" i="8"/>
  <c r="R247" i="8" l="1"/>
  <c r="Z246" i="8"/>
  <c r="AK247" i="8" l="1"/>
  <c r="AL247" i="8"/>
  <c r="S247" i="8"/>
  <c r="W247" i="8"/>
  <c r="AJ247" i="8" l="1"/>
  <c r="G247" i="8" l="1"/>
  <c r="F248" i="8" l="1"/>
  <c r="H248" i="8" s="1"/>
  <c r="I247" i="8"/>
  <c r="O247" i="8"/>
  <c r="N248" i="8" l="1"/>
  <c r="K247" i="8"/>
  <c r="J248" i="8" l="1"/>
  <c r="V247" i="8"/>
  <c r="U248" i="8" l="1"/>
  <c r="E247" i="8"/>
  <c r="T247" i="8" l="1"/>
  <c r="AM247" i="8" s="1"/>
  <c r="D248" i="8"/>
  <c r="R248" i="8" l="1"/>
  <c r="Z247" i="8"/>
  <c r="AL248" i="8" l="1"/>
  <c r="AK248" i="8"/>
  <c r="S248" i="8"/>
  <c r="W248" i="8"/>
  <c r="AJ248" i="8" l="1"/>
  <c r="G248" i="8" l="1"/>
  <c r="F249" i="8" l="1"/>
  <c r="H249" i="8" s="1"/>
  <c r="I248" i="8"/>
  <c r="O248" i="8"/>
  <c r="N249" i="8" l="1"/>
  <c r="K248" i="8"/>
  <c r="J249" i="8" l="1"/>
  <c r="V248" i="8"/>
  <c r="U249" i="8" l="1"/>
  <c r="E248" i="8"/>
  <c r="T248" i="8" l="1"/>
  <c r="AM248" i="8" s="1"/>
  <c r="D249" i="8"/>
  <c r="R249" i="8" l="1"/>
  <c r="Z248" i="8"/>
  <c r="AA249" i="8" s="1"/>
  <c r="AA250" i="8" s="1"/>
  <c r="AA251" i="8" s="1"/>
  <c r="AA252" i="8" s="1"/>
  <c r="AA253" i="8" s="1"/>
  <c r="AA254" i="8" s="1"/>
  <c r="AA255" i="8" s="1"/>
  <c r="AA256" i="8" s="1"/>
  <c r="AA257" i="8" s="1"/>
  <c r="AA258" i="8" s="1"/>
  <c r="AA259" i="8" s="1"/>
  <c r="AA260" i="8" s="1"/>
  <c r="S249" i="8" l="1"/>
  <c r="AJ249" i="8" s="1"/>
  <c r="W249" i="8"/>
  <c r="G249" i="8" l="1"/>
  <c r="I249" i="8" s="1"/>
  <c r="AN249" i="8"/>
  <c r="AK249" i="8" l="1"/>
  <c r="AL249" i="8"/>
  <c r="O249" i="8"/>
  <c r="N250" i="8" s="1"/>
  <c r="F250" i="8"/>
  <c r="H250" i="8" s="1"/>
  <c r="AN250" i="8"/>
  <c r="K249" i="8" l="1"/>
  <c r="J250" i="8" s="1"/>
  <c r="AN251" i="8"/>
  <c r="V249" i="8" l="1"/>
  <c r="E249" i="8" s="1"/>
  <c r="AN252" i="8"/>
  <c r="U250" i="8" l="1"/>
  <c r="T249" i="8"/>
  <c r="AM249" i="8" s="1"/>
  <c r="D250" i="8"/>
  <c r="AN253" i="8"/>
  <c r="AN255" i="8" l="1"/>
  <c r="AN254" i="8"/>
  <c r="R250" i="8"/>
  <c r="Z249" i="8"/>
  <c r="W250" i="8" l="1"/>
  <c r="AL250" i="8"/>
  <c r="AK250" i="8"/>
  <c r="S250" i="8"/>
  <c r="AJ250" i="8" l="1"/>
  <c r="G250" i="8" l="1"/>
  <c r="O250" i="8" s="1"/>
  <c r="N251" i="8" l="1"/>
  <c r="F251" i="8"/>
  <c r="H251" i="8" s="1"/>
  <c r="I250" i="8"/>
  <c r="K250" i="8"/>
  <c r="J251" i="8" s="1"/>
  <c r="V250" i="8" l="1"/>
  <c r="U251" i="8" l="1"/>
  <c r="E250" i="8"/>
  <c r="T250" i="8" l="1"/>
  <c r="AM250" i="8" s="1"/>
  <c r="D251" i="8"/>
  <c r="R251" i="8" l="1"/>
  <c r="Z250" i="8"/>
  <c r="AK251" i="8" l="1"/>
  <c r="AL251" i="8"/>
  <c r="S251" i="8"/>
  <c r="W251" i="8"/>
  <c r="AJ251" i="8" l="1"/>
  <c r="G251" i="8" l="1"/>
  <c r="O251" i="8" l="1"/>
  <c r="F252" i="8"/>
  <c r="H252" i="8" s="1"/>
  <c r="I251" i="8"/>
  <c r="N252" i="8" l="1"/>
  <c r="K251" i="8"/>
  <c r="J252" i="8" l="1"/>
  <c r="V251" i="8"/>
  <c r="U252" i="8" l="1"/>
  <c r="E251" i="8"/>
  <c r="T251" i="8" l="1"/>
  <c r="AM251" i="8" s="1"/>
  <c r="D252" i="8"/>
  <c r="R252" i="8" l="1"/>
  <c r="Z251" i="8"/>
  <c r="AL252" i="8" l="1"/>
  <c r="AK252" i="8"/>
  <c r="S252" i="8"/>
  <c r="W252" i="8"/>
  <c r="AJ252" i="8" l="1"/>
  <c r="G252" i="8" l="1"/>
  <c r="O252" i="8" s="1"/>
  <c r="K252" i="8" s="1"/>
  <c r="J253" i="8" s="1"/>
  <c r="N253" i="8" l="1"/>
  <c r="F253" i="8"/>
  <c r="H253" i="8" s="1"/>
  <c r="I252" i="8"/>
  <c r="V252" i="8"/>
  <c r="U253" i="8" l="1"/>
  <c r="E252" i="8"/>
  <c r="T252" i="8" l="1"/>
  <c r="D253" i="8"/>
  <c r="R253" i="8" l="1"/>
  <c r="Z252" i="8"/>
  <c r="AM252" i="8"/>
  <c r="W253" i="8" l="1"/>
  <c r="AK253" i="8"/>
  <c r="AL253" i="8"/>
  <c r="S253" i="8"/>
  <c r="AJ253" i="8" l="1"/>
  <c r="G253" i="8" l="1"/>
  <c r="F254" i="8" l="1"/>
  <c r="H254" i="8" s="1"/>
  <c r="I253" i="8"/>
  <c r="O253" i="8"/>
  <c r="N254" i="8" l="1"/>
  <c r="K253" i="8"/>
  <c r="J254" i="8" l="1"/>
  <c r="V253" i="8"/>
  <c r="U254" i="8" l="1"/>
  <c r="E253" i="8"/>
  <c r="T253" i="8" l="1"/>
  <c r="AM253" i="8" s="1"/>
  <c r="D254" i="8"/>
  <c r="R254" i="8" l="1"/>
  <c r="Z253" i="8"/>
  <c r="AL254" i="8" l="1"/>
  <c r="AK254" i="8"/>
  <c r="S254" i="8"/>
  <c r="W254" i="8"/>
  <c r="AJ254" i="8" l="1"/>
  <c r="G254" i="8" l="1"/>
  <c r="O254" i="8" l="1"/>
  <c r="F255" i="8"/>
  <c r="H255" i="8" s="1"/>
  <c r="I254" i="8"/>
  <c r="N255" i="8" l="1"/>
  <c r="K254" i="8"/>
  <c r="J255" i="8" l="1"/>
  <c r="V254" i="8"/>
  <c r="U255" i="8" l="1"/>
  <c r="E254" i="8"/>
  <c r="T254" i="8" l="1"/>
  <c r="AM254" i="8" s="1"/>
  <c r="D255" i="8"/>
  <c r="R255" i="8" l="1"/>
  <c r="Z254" i="8"/>
  <c r="AK255" i="8" l="1"/>
  <c r="AL255" i="8"/>
  <c r="S255" i="8"/>
  <c r="W255" i="8"/>
  <c r="AJ255" i="8" l="1"/>
  <c r="G255" i="8" l="1"/>
  <c r="O255" i="8" l="1"/>
  <c r="F256" i="8"/>
  <c r="H256" i="8" s="1"/>
  <c r="I255" i="8"/>
  <c r="N256" i="8" l="1"/>
  <c r="K255" i="8"/>
  <c r="J256" i="8" l="1"/>
  <c r="V255" i="8"/>
  <c r="U256" i="8" l="1"/>
  <c r="E255" i="8"/>
  <c r="T255" i="8" l="1"/>
  <c r="AM255" i="8" s="1"/>
  <c r="D256" i="8"/>
  <c r="R256" i="8" l="1"/>
  <c r="Z255" i="8"/>
  <c r="S256" i="8" l="1"/>
  <c r="AJ256" i="8" s="1"/>
  <c r="G256" i="8" s="1"/>
  <c r="AN256" i="8"/>
  <c r="AL256" i="8" s="1"/>
  <c r="W256" i="8"/>
  <c r="AK256" i="8" l="1"/>
  <c r="O256" i="8"/>
  <c r="F257" i="8"/>
  <c r="H257" i="8" s="1"/>
  <c r="I256" i="8"/>
  <c r="AN257" i="8"/>
  <c r="K256" i="8" l="1"/>
  <c r="N257" i="8"/>
  <c r="AN258" i="8"/>
  <c r="AN259" i="8" l="1"/>
  <c r="J257" i="8"/>
  <c r="V256" i="8"/>
  <c r="U257" i="8" l="1"/>
  <c r="E256" i="8"/>
  <c r="AN260" i="8"/>
  <c r="AB249" i="8"/>
  <c r="AB250" i="8" s="1"/>
  <c r="AB251" i="8" s="1"/>
  <c r="AB252" i="8" s="1"/>
  <c r="AB253" i="8" s="1"/>
  <c r="AB254" i="8" s="1"/>
  <c r="AB255" i="8" s="1"/>
  <c r="AB256" i="8" s="1"/>
  <c r="AB257" i="8" s="1"/>
  <c r="AB258" i="8" s="1"/>
  <c r="AB259" i="8" s="1"/>
  <c r="AB260" i="8" s="1"/>
  <c r="T256" i="8" l="1"/>
  <c r="AM256" i="8" s="1"/>
  <c r="D257" i="8"/>
  <c r="R257" i="8" l="1"/>
  <c r="Z256" i="8"/>
  <c r="AK257" i="8" l="1"/>
  <c r="AL257" i="8"/>
  <c r="S257" i="8"/>
  <c r="W257" i="8"/>
  <c r="AJ257" i="8" l="1"/>
  <c r="G257" i="8" l="1"/>
  <c r="F258" i="8" l="1"/>
  <c r="H258" i="8" s="1"/>
  <c r="I257" i="8"/>
  <c r="O257" i="8"/>
  <c r="N258" i="8" l="1"/>
  <c r="K257" i="8"/>
  <c r="J258" i="8" l="1"/>
  <c r="V257" i="8"/>
  <c r="U258" i="8" l="1"/>
  <c r="E257" i="8"/>
  <c r="T257" i="8" l="1"/>
  <c r="AM257" i="8" s="1"/>
  <c r="D258" i="8"/>
  <c r="R258" i="8" l="1"/>
  <c r="Z257" i="8"/>
  <c r="AL258" i="8" l="1"/>
  <c r="AK258" i="8"/>
  <c r="S258" i="8"/>
  <c r="W258" i="8"/>
  <c r="AJ258" i="8" l="1"/>
  <c r="G258" i="8" l="1"/>
  <c r="O258" i="8" l="1"/>
  <c r="F259" i="8"/>
  <c r="H259" i="8" s="1"/>
  <c r="I258" i="8"/>
  <c r="N259" i="8" l="1"/>
  <c r="K258" i="8"/>
  <c r="J259" i="8" l="1"/>
  <c r="V258" i="8"/>
  <c r="U259" i="8" l="1"/>
  <c r="E258" i="8"/>
  <c r="T258" i="8" l="1"/>
  <c r="AM258" i="8" s="1"/>
  <c r="D259" i="8"/>
  <c r="R259" i="8" l="1"/>
  <c r="Z258" i="8"/>
  <c r="AK259" i="8" l="1"/>
  <c r="AL259" i="8"/>
  <c r="S259" i="8"/>
  <c r="W259" i="8"/>
  <c r="AJ259" i="8" l="1"/>
  <c r="G259" i="8" l="1"/>
  <c r="O259" i="8" s="1"/>
  <c r="N260" i="8" l="1"/>
  <c r="K259" i="8"/>
  <c r="F260" i="8"/>
  <c r="H260" i="8" s="1"/>
  <c r="I259" i="8"/>
  <c r="J260" i="8" l="1"/>
  <c r="V259" i="8"/>
  <c r="U260" i="8" l="1"/>
  <c r="E259" i="8"/>
  <c r="T259" i="8" l="1"/>
  <c r="AM259" i="8" s="1"/>
  <c r="D260" i="8"/>
  <c r="R260" i="8" l="1"/>
  <c r="Z259" i="8"/>
  <c r="AL260" i="8" l="1"/>
  <c r="AK260" i="8"/>
  <c r="S260" i="8"/>
  <c r="W260" i="8"/>
  <c r="AJ260" i="8" l="1"/>
  <c r="G260" i="8" l="1"/>
  <c r="O260" i="8" s="1"/>
  <c r="N261" i="8" l="1"/>
  <c r="K260" i="8"/>
  <c r="J261" i="8" s="1"/>
  <c r="F261" i="8"/>
  <c r="H261" i="8" s="1"/>
  <c r="I260" i="8"/>
  <c r="V260" i="8" l="1"/>
  <c r="E260" i="8" s="1"/>
  <c r="U261" i="8" l="1"/>
  <c r="T260" i="8"/>
  <c r="D261" i="8"/>
  <c r="R261" i="8" l="1"/>
  <c r="Z260" i="8"/>
  <c r="AA261" i="8" s="1"/>
  <c r="AA262" i="8" s="1"/>
  <c r="AA263" i="8" s="1"/>
  <c r="AA264" i="8" s="1"/>
  <c r="AA265" i="8" s="1"/>
  <c r="AA266" i="8" s="1"/>
  <c r="AA267" i="8" s="1"/>
  <c r="AA268" i="8" s="1"/>
  <c r="AA269" i="8" s="1"/>
  <c r="AA270" i="8" s="1"/>
  <c r="AA271" i="8" s="1"/>
  <c r="AA272" i="8" s="1"/>
  <c r="AM260" i="8"/>
  <c r="S261" i="8" l="1"/>
  <c r="AJ261" i="8" s="1"/>
  <c r="G261" i="8" s="1"/>
  <c r="O261" i="8" s="1"/>
  <c r="AN261" i="8"/>
  <c r="AK261" i="8" s="1"/>
  <c r="W261" i="8"/>
  <c r="AL261" i="8" l="1"/>
  <c r="N262" i="8"/>
  <c r="K261" i="8"/>
  <c r="AN262" i="8"/>
  <c r="F262" i="8"/>
  <c r="H262" i="8" s="1"/>
  <c r="I261" i="8"/>
  <c r="J262" i="8" l="1"/>
  <c r="V261" i="8"/>
  <c r="AN263" i="8"/>
  <c r="U262" i="8" l="1"/>
  <c r="E261" i="8"/>
  <c r="AN264" i="8"/>
  <c r="T261" i="8" l="1"/>
  <c r="AM261" i="8" s="1"/>
  <c r="D262" i="8"/>
  <c r="AN265" i="8"/>
  <c r="AN267" i="8" l="1"/>
  <c r="AN266" i="8"/>
  <c r="R262" i="8"/>
  <c r="Z261" i="8"/>
  <c r="AL262" i="8" l="1"/>
  <c r="AK262" i="8"/>
  <c r="S262" i="8"/>
  <c r="W262" i="8"/>
  <c r="AJ262" i="8" l="1"/>
  <c r="G262" i="8" l="1"/>
  <c r="O262" i="8" l="1"/>
  <c r="F263" i="8"/>
  <c r="H263" i="8" s="1"/>
  <c r="I262" i="8"/>
  <c r="N263" i="8" l="1"/>
  <c r="K262" i="8"/>
  <c r="J263" i="8" l="1"/>
  <c r="V262" i="8"/>
  <c r="U263" i="8" l="1"/>
  <c r="E262" i="8"/>
  <c r="T262" i="8" l="1"/>
  <c r="D263" i="8"/>
  <c r="R263" i="8" l="1"/>
  <c r="W263" i="8" s="1"/>
  <c r="Z262" i="8"/>
  <c r="AM262" i="8"/>
  <c r="AK263" i="8" l="1"/>
  <c r="AL263" i="8"/>
  <c r="S263" i="8"/>
  <c r="AJ263" i="8" l="1"/>
  <c r="G263" i="8" l="1"/>
  <c r="O263" i="8" s="1"/>
  <c r="N264" i="8" l="1"/>
  <c r="K263" i="8"/>
  <c r="J264" i="8" s="1"/>
  <c r="F264" i="8"/>
  <c r="H264" i="8" s="1"/>
  <c r="I263" i="8"/>
  <c r="V263" i="8" l="1"/>
  <c r="U264" i="8" l="1"/>
  <c r="E263" i="8"/>
  <c r="T263" i="8" l="1"/>
  <c r="AM263" i="8" s="1"/>
  <c r="D264" i="8"/>
  <c r="R264" i="8" l="1"/>
  <c r="Z263" i="8"/>
  <c r="AL264" i="8" l="1"/>
  <c r="AK264" i="8"/>
  <c r="S264" i="8"/>
  <c r="W264" i="8"/>
  <c r="AJ264" i="8" l="1"/>
  <c r="G264" i="8" l="1"/>
  <c r="O264" i="8" s="1"/>
  <c r="N265" i="8" l="1"/>
  <c r="K264" i="8"/>
  <c r="J265" i="8" s="1"/>
  <c r="F265" i="8"/>
  <c r="H265" i="8" s="1"/>
  <c r="I264" i="8"/>
  <c r="V264" i="8" l="1"/>
  <c r="U265" i="8" s="1"/>
  <c r="E264" i="8" l="1"/>
  <c r="T264" i="8" s="1"/>
  <c r="AM264" i="8" s="1"/>
  <c r="D265" i="8" l="1"/>
  <c r="R265" i="8"/>
  <c r="Z264" i="8"/>
  <c r="AK265" i="8" l="1"/>
  <c r="AL265" i="8"/>
  <c r="S265" i="8"/>
  <c r="W265" i="8"/>
  <c r="AJ265" i="8" l="1"/>
  <c r="G265" i="8" l="1"/>
  <c r="O265" i="8" l="1"/>
  <c r="F266" i="8"/>
  <c r="H266" i="8" s="1"/>
  <c r="I265" i="8"/>
  <c r="N266" i="8" l="1"/>
  <c r="K265" i="8"/>
  <c r="J266" i="8" l="1"/>
  <c r="V265" i="8"/>
  <c r="E265" i="8" l="1"/>
  <c r="U266" i="8"/>
  <c r="T265" i="8" l="1"/>
  <c r="AM265" i="8" s="1"/>
  <c r="D266" i="8"/>
  <c r="R266" i="8" l="1"/>
  <c r="Z265" i="8"/>
  <c r="AL266" i="8" l="1"/>
  <c r="AK266" i="8"/>
  <c r="S266" i="8"/>
  <c r="W266" i="8"/>
  <c r="AJ266" i="8" l="1"/>
  <c r="G266" i="8" l="1"/>
  <c r="F267" i="8" l="1"/>
  <c r="H267" i="8" s="1"/>
  <c r="I266" i="8"/>
  <c r="O266" i="8"/>
  <c r="N267" i="8" l="1"/>
  <c r="K266" i="8"/>
  <c r="J267" i="8" l="1"/>
  <c r="V266" i="8"/>
  <c r="U267" i="8" l="1"/>
  <c r="E266" i="8"/>
  <c r="T266" i="8" l="1"/>
  <c r="AM266" i="8" s="1"/>
  <c r="D267" i="8"/>
  <c r="R267" i="8" l="1"/>
  <c r="Z266" i="8"/>
  <c r="AK267" i="8" l="1"/>
  <c r="AL267" i="8"/>
  <c r="S267" i="8"/>
  <c r="W267" i="8"/>
  <c r="AJ267" i="8" l="1"/>
  <c r="G267" i="8" l="1"/>
  <c r="F268" i="8" l="1"/>
  <c r="H268" i="8" s="1"/>
  <c r="I267" i="8"/>
  <c r="O267" i="8"/>
  <c r="N268" i="8" l="1"/>
  <c r="K267" i="8"/>
  <c r="J268" i="8" l="1"/>
  <c r="V267" i="8"/>
  <c r="U268" i="8" l="1"/>
  <c r="E267" i="8"/>
  <c r="T267" i="8" l="1"/>
  <c r="AM267" i="8" s="1"/>
  <c r="D268" i="8"/>
  <c r="R268" i="8" l="1"/>
  <c r="Z267" i="8"/>
  <c r="S268" i="8" l="1"/>
  <c r="AJ268" i="8" s="1"/>
  <c r="G268" i="8" s="1"/>
  <c r="AN268" i="8"/>
  <c r="AL268" i="8" s="1"/>
  <c r="W268" i="8"/>
  <c r="AK268" i="8" l="1"/>
  <c r="O268" i="8"/>
  <c r="N269" i="8" s="1"/>
  <c r="AN269" i="8"/>
  <c r="F269" i="8"/>
  <c r="H269" i="8" s="1"/>
  <c r="I268" i="8"/>
  <c r="K268" i="8" l="1"/>
  <c r="V268" i="8" s="1"/>
  <c r="AN270" i="8"/>
  <c r="J269" i="8" l="1"/>
  <c r="U269" i="8"/>
  <c r="E268" i="8"/>
  <c r="AN271" i="8"/>
  <c r="T268" i="8" l="1"/>
  <c r="AM268" i="8" s="1"/>
  <c r="D269" i="8"/>
  <c r="AN272" i="8"/>
  <c r="AB261" i="8"/>
  <c r="AB262" i="8" s="1"/>
  <c r="AB263" i="8" s="1"/>
  <c r="AB264" i="8" s="1"/>
  <c r="AB265" i="8" s="1"/>
  <c r="AB266" i="8" s="1"/>
  <c r="AB267" i="8" s="1"/>
  <c r="AB268" i="8" s="1"/>
  <c r="AB269" i="8" s="1"/>
  <c r="AB270" i="8" s="1"/>
  <c r="AB271" i="8" s="1"/>
  <c r="AB272" i="8" s="1"/>
  <c r="R269" i="8" l="1"/>
  <c r="Z268" i="8"/>
  <c r="AK269" i="8" l="1"/>
  <c r="AL269" i="8"/>
  <c r="S269" i="8"/>
  <c r="W269" i="8"/>
  <c r="AJ269" i="8" l="1"/>
  <c r="G269" i="8" l="1"/>
  <c r="O269" i="8" s="1"/>
  <c r="N270" i="8" l="1"/>
  <c r="K269" i="8"/>
  <c r="J270" i="8" s="1"/>
  <c r="F270" i="8"/>
  <c r="H270" i="8" s="1"/>
  <c r="I269" i="8"/>
  <c r="V269" i="8" l="1"/>
  <c r="U270" i="8" s="1"/>
  <c r="E269" i="8" l="1"/>
  <c r="T269" i="8" s="1"/>
  <c r="AM269" i="8" s="1"/>
  <c r="D270" i="8" l="1"/>
  <c r="R270" i="8"/>
  <c r="Z269" i="8"/>
  <c r="AL270" i="8" l="1"/>
  <c r="AK270" i="8"/>
  <c r="W270" i="8"/>
  <c r="S270" i="8"/>
  <c r="AJ270" i="8" l="1"/>
  <c r="G270" i="8" l="1"/>
  <c r="O270" i="8" s="1"/>
  <c r="K270" i="8" s="1"/>
  <c r="J271" i="8" s="1"/>
  <c r="N271" i="8" l="1"/>
  <c r="F271" i="8"/>
  <c r="H271" i="8" s="1"/>
  <c r="I270" i="8"/>
  <c r="V270" i="8"/>
  <c r="U271" i="8" l="1"/>
  <c r="E270" i="8"/>
  <c r="T270" i="8" l="1"/>
  <c r="AM270" i="8" s="1"/>
  <c r="D271" i="8"/>
  <c r="R271" i="8" l="1"/>
  <c r="Z270" i="8"/>
  <c r="AK271" i="8" l="1"/>
  <c r="AL271" i="8"/>
  <c r="S271" i="8"/>
  <c r="W271" i="8"/>
  <c r="AJ271" i="8" l="1"/>
  <c r="G271" i="8" l="1"/>
  <c r="O271" i="8" l="1"/>
  <c r="F272" i="8"/>
  <c r="H272" i="8" s="1"/>
  <c r="I271" i="8"/>
  <c r="K271" i="8" l="1"/>
  <c r="N272" i="8"/>
  <c r="J272" i="8" l="1"/>
  <c r="V271" i="8"/>
  <c r="U272" i="8" l="1"/>
  <c r="E271" i="8"/>
  <c r="T271" i="8" l="1"/>
  <c r="AM271" i="8" s="1"/>
  <c r="D272" i="8"/>
  <c r="R272" i="8" l="1"/>
  <c r="Z271" i="8"/>
  <c r="AL272" i="8" l="1"/>
  <c r="AK272" i="8"/>
  <c r="S272" i="8"/>
  <c r="W272" i="8"/>
  <c r="AJ272" i="8" l="1"/>
  <c r="G272" i="8" l="1"/>
  <c r="F273" i="8" l="1"/>
  <c r="H273" i="8" s="1"/>
  <c r="I272" i="8"/>
  <c r="O272" i="8"/>
  <c r="N273" i="8" l="1"/>
  <c r="K272" i="8"/>
  <c r="J273" i="8" l="1"/>
  <c r="V272" i="8"/>
  <c r="U273" i="8" l="1"/>
  <c r="E272" i="8"/>
  <c r="T272" i="8" l="1"/>
  <c r="AM272" i="8" s="1"/>
  <c r="D273" i="8"/>
  <c r="R273" i="8" l="1"/>
  <c r="Z272" i="8"/>
  <c r="AA273" i="8" s="1"/>
  <c r="AA274" i="8" s="1"/>
  <c r="AA275" i="8" s="1"/>
  <c r="AA276" i="8" s="1"/>
  <c r="AA277" i="8" s="1"/>
  <c r="AA278" i="8" s="1"/>
  <c r="AA279" i="8" s="1"/>
  <c r="AA280" i="8" s="1"/>
  <c r="AA281" i="8" s="1"/>
  <c r="AA282" i="8" s="1"/>
  <c r="AA283" i="8" s="1"/>
  <c r="AA284" i="8" s="1"/>
  <c r="S273" i="8" l="1"/>
  <c r="AJ273" i="8" s="1"/>
  <c r="W273" i="8"/>
  <c r="G273" i="8" l="1"/>
  <c r="F274" i="8" s="1"/>
  <c r="H274" i="8" s="1"/>
  <c r="AN273" i="8"/>
  <c r="O273" i="8" l="1"/>
  <c r="N274" i="8" s="1"/>
  <c r="AK273" i="8"/>
  <c r="AL273" i="8"/>
  <c r="I273" i="8"/>
  <c r="AN274" i="8"/>
  <c r="K273" i="8" l="1"/>
  <c r="J274" i="8" s="1"/>
  <c r="AN275" i="8"/>
  <c r="V273" i="8" l="1"/>
  <c r="E273" i="8" s="1"/>
  <c r="AN276" i="8"/>
  <c r="U274" i="8" l="1"/>
  <c r="AN277" i="8"/>
  <c r="T273" i="8"/>
  <c r="D274" i="8"/>
  <c r="R274" i="8" l="1"/>
  <c r="Z273" i="8"/>
  <c r="AM273" i="8"/>
  <c r="AN279" i="8"/>
  <c r="AN278" i="8"/>
  <c r="W274" i="8" l="1"/>
  <c r="AL274" i="8"/>
  <c r="AK274" i="8"/>
  <c r="S274" i="8"/>
  <c r="AJ274" i="8" l="1"/>
  <c r="G274" i="8" l="1"/>
  <c r="O274" i="8" l="1"/>
  <c r="F275" i="8"/>
  <c r="H275" i="8" s="1"/>
  <c r="I274" i="8"/>
  <c r="N275" i="8" l="1"/>
  <c r="K274" i="8"/>
  <c r="J275" i="8" l="1"/>
  <c r="V274" i="8"/>
  <c r="U275" i="8" l="1"/>
  <c r="E274" i="8"/>
  <c r="T274" i="8" l="1"/>
  <c r="AM274" i="8" s="1"/>
  <c r="D275" i="8"/>
  <c r="R275" i="8" l="1"/>
  <c r="Z274" i="8"/>
  <c r="AK275" i="8" l="1"/>
  <c r="AL275" i="8"/>
  <c r="S275" i="8"/>
  <c r="W275" i="8"/>
  <c r="AJ275" i="8" l="1"/>
  <c r="G275" i="8" l="1"/>
  <c r="O275" i="8" s="1"/>
  <c r="N276" i="8" l="1"/>
  <c r="K275" i="8"/>
  <c r="J276" i="8" s="1"/>
  <c r="F276" i="8"/>
  <c r="H276" i="8" s="1"/>
  <c r="I275" i="8"/>
  <c r="V275" i="8" l="1"/>
  <c r="E275" i="8" s="1"/>
  <c r="U276" i="8" l="1"/>
  <c r="T275" i="8"/>
  <c r="AM275" i="8" s="1"/>
  <c r="D276" i="8"/>
  <c r="R276" i="8" l="1"/>
  <c r="Z275" i="8"/>
  <c r="AL276" i="8" l="1"/>
  <c r="AK276" i="8"/>
  <c r="S276" i="8"/>
  <c r="W276" i="8"/>
  <c r="AJ276" i="8" l="1"/>
  <c r="G276" i="8" l="1"/>
  <c r="O276" i="8" s="1"/>
  <c r="N277" i="8" l="1"/>
  <c r="K276" i="8"/>
  <c r="J277" i="8" s="1"/>
  <c r="F277" i="8"/>
  <c r="H277" i="8" s="1"/>
  <c r="I276" i="8"/>
  <c r="V276" i="8" l="1"/>
  <c r="U277" i="8" l="1"/>
  <c r="E276" i="8"/>
  <c r="T276" i="8" l="1"/>
  <c r="AM276" i="8" s="1"/>
  <c r="D277" i="8"/>
  <c r="R277" i="8" l="1"/>
  <c r="Z276" i="8"/>
  <c r="AK277" i="8" l="1"/>
  <c r="AL277" i="8"/>
  <c r="S277" i="8"/>
  <c r="W277" i="8"/>
  <c r="AJ277" i="8" l="1"/>
  <c r="G277" i="8" l="1"/>
  <c r="F278" i="8" l="1"/>
  <c r="H278" i="8" s="1"/>
  <c r="I277" i="8"/>
  <c r="O277" i="8"/>
  <c r="N278" i="8" l="1"/>
  <c r="K277" i="8"/>
  <c r="J278" i="8" l="1"/>
  <c r="V277" i="8"/>
  <c r="U278" i="8" l="1"/>
  <c r="E277" i="8"/>
  <c r="T277" i="8" l="1"/>
  <c r="AM277" i="8" s="1"/>
  <c r="D278" i="8"/>
  <c r="R278" i="8" l="1"/>
  <c r="Z277" i="8"/>
  <c r="AL278" i="8" l="1"/>
  <c r="AK278" i="8"/>
  <c r="S278" i="8"/>
  <c r="W278" i="8"/>
  <c r="AJ278" i="8" l="1"/>
  <c r="G278" i="8" l="1"/>
  <c r="O278" i="8" l="1"/>
  <c r="F279" i="8"/>
  <c r="H279" i="8" s="1"/>
  <c r="I278" i="8"/>
  <c r="N279" i="8" l="1"/>
  <c r="K278" i="8"/>
  <c r="J279" i="8" l="1"/>
  <c r="V278" i="8"/>
  <c r="U279" i="8" l="1"/>
  <c r="E278" i="8"/>
  <c r="T278" i="8" l="1"/>
  <c r="AM278" i="8" s="1"/>
  <c r="D279" i="8"/>
  <c r="R279" i="8" l="1"/>
  <c r="Z278" i="8"/>
  <c r="AK279" i="8" l="1"/>
  <c r="AL279" i="8"/>
  <c r="S279" i="8"/>
  <c r="W279" i="8"/>
  <c r="AJ279" i="8" l="1"/>
  <c r="G279" i="8" l="1"/>
  <c r="F280" i="8" l="1"/>
  <c r="H280" i="8" s="1"/>
  <c r="I279" i="8"/>
  <c r="O279" i="8"/>
  <c r="N280" i="8" l="1"/>
  <c r="K279" i="8"/>
  <c r="J280" i="8" l="1"/>
  <c r="V279" i="8"/>
  <c r="U280" i="8" l="1"/>
  <c r="E279" i="8"/>
  <c r="T279" i="8" l="1"/>
  <c r="AM279" i="8" s="1"/>
  <c r="D280" i="8"/>
  <c r="R280" i="8" l="1"/>
  <c r="Z279" i="8"/>
  <c r="S280" i="8" l="1"/>
  <c r="AJ280" i="8" s="1"/>
  <c r="G280" i="8" s="1"/>
  <c r="AN280" i="8"/>
  <c r="AL280" i="8" s="1"/>
  <c r="W280" i="8"/>
  <c r="AK280" i="8" l="1"/>
  <c r="O280" i="8"/>
  <c r="N281" i="8" s="1"/>
  <c r="F281" i="8"/>
  <c r="H281" i="8" s="1"/>
  <c r="I280" i="8"/>
  <c r="AN281" i="8"/>
  <c r="K280" i="8" l="1"/>
  <c r="J281" i="8" s="1"/>
  <c r="AN282" i="8"/>
  <c r="V280" i="8" l="1"/>
  <c r="U281" i="8" s="1"/>
  <c r="AN283" i="8"/>
  <c r="E280" i="8" l="1"/>
  <c r="T280" i="8" s="1"/>
  <c r="AM280" i="8" s="1"/>
  <c r="AN284" i="8"/>
  <c r="AB273" i="8"/>
  <c r="AB274" i="8" s="1"/>
  <c r="AB275" i="8" s="1"/>
  <c r="AB276" i="8" s="1"/>
  <c r="AB277" i="8" s="1"/>
  <c r="AB278" i="8" s="1"/>
  <c r="AB279" i="8" s="1"/>
  <c r="AB280" i="8" s="1"/>
  <c r="AB281" i="8" s="1"/>
  <c r="AB282" i="8" s="1"/>
  <c r="AB283" i="8" s="1"/>
  <c r="AB284" i="8" s="1"/>
  <c r="D281" i="8" l="1"/>
  <c r="R281" i="8"/>
  <c r="Z280" i="8"/>
  <c r="AK281" i="8" l="1"/>
  <c r="AL281" i="8"/>
  <c r="S281" i="8"/>
  <c r="W281" i="8"/>
  <c r="AJ281" i="8" l="1"/>
  <c r="G281" i="8" l="1"/>
  <c r="O281" i="8" s="1"/>
  <c r="N282" i="8" l="1"/>
  <c r="K281" i="8"/>
  <c r="J282" i="8" s="1"/>
  <c r="F282" i="8"/>
  <c r="H282" i="8" s="1"/>
  <c r="I281" i="8"/>
  <c r="V281" i="8" l="1"/>
  <c r="U282" i="8" l="1"/>
  <c r="E281" i="8"/>
  <c r="T281" i="8" l="1"/>
  <c r="AM281" i="8" s="1"/>
  <c r="D282" i="8"/>
  <c r="R282" i="8" l="1"/>
  <c r="Z281" i="8"/>
  <c r="AL282" i="8" l="1"/>
  <c r="AK282" i="8"/>
  <c r="S282" i="8"/>
  <c r="W282" i="8"/>
  <c r="AJ282" i="8" l="1"/>
  <c r="G282" i="8" l="1"/>
  <c r="O282" i="8" s="1"/>
  <c r="N283" i="8" l="1"/>
  <c r="K282" i="8"/>
  <c r="J283" i="8" s="1"/>
  <c r="F283" i="8"/>
  <c r="H283" i="8" s="1"/>
  <c r="I282" i="8"/>
  <c r="V282" i="8" l="1"/>
  <c r="U283" i="8" l="1"/>
  <c r="E282" i="8"/>
  <c r="T282" i="8" l="1"/>
  <c r="AM282" i="8" s="1"/>
  <c r="D283" i="8"/>
  <c r="R283" i="8" l="1"/>
  <c r="Z282" i="8"/>
  <c r="AK283" i="8" l="1"/>
  <c r="AL283" i="8"/>
  <c r="S283" i="8"/>
  <c r="W283" i="8"/>
  <c r="AJ283" i="8" l="1"/>
  <c r="G283" i="8" l="1"/>
  <c r="F284" i="8" l="1"/>
  <c r="H284" i="8" s="1"/>
  <c r="I283" i="8"/>
  <c r="O283" i="8"/>
  <c r="N284" i="8" l="1"/>
  <c r="K283" i="8"/>
  <c r="J284" i="8" l="1"/>
  <c r="V283" i="8"/>
  <c r="U284" i="8" l="1"/>
  <c r="E283" i="8"/>
  <c r="T283" i="8" l="1"/>
  <c r="AM283" i="8" s="1"/>
  <c r="D284" i="8"/>
  <c r="R284" i="8" l="1"/>
  <c r="Z283" i="8"/>
  <c r="AL284" i="8" l="1"/>
  <c r="AK284" i="8"/>
  <c r="S284" i="8"/>
  <c r="W284" i="8"/>
  <c r="AJ284" i="8" l="1"/>
  <c r="G284" i="8" l="1"/>
  <c r="O284" i="8" l="1"/>
  <c r="F285" i="8"/>
  <c r="H285" i="8" s="1"/>
  <c r="I284" i="8"/>
  <c r="K284" i="8" l="1"/>
  <c r="N285" i="8"/>
  <c r="J285" i="8" l="1"/>
  <c r="V284" i="8"/>
  <c r="U285" i="8" l="1"/>
  <c r="E284" i="8"/>
  <c r="T284" i="8" l="1"/>
  <c r="AM284" i="8" s="1"/>
  <c r="D285" i="8"/>
  <c r="R285" i="8" l="1"/>
  <c r="Z284" i="8"/>
  <c r="AA285" i="8" s="1"/>
  <c r="AA286" i="8" s="1"/>
  <c r="AA287" i="8" s="1"/>
  <c r="AA288" i="8" s="1"/>
  <c r="AA289" i="8" s="1"/>
  <c r="AA290" i="8" s="1"/>
  <c r="AA291" i="8" s="1"/>
  <c r="AA292" i="8" s="1"/>
  <c r="AA293" i="8" s="1"/>
  <c r="AA294" i="8" s="1"/>
  <c r="AA295" i="8" s="1"/>
  <c r="AA296" i="8" s="1"/>
  <c r="S285" i="8" l="1"/>
  <c r="AJ285" i="8" s="1"/>
  <c r="W285" i="8"/>
  <c r="G285" i="8" l="1"/>
  <c r="F286" i="8" s="1"/>
  <c r="H286" i="8" s="1"/>
  <c r="AN285" i="8"/>
  <c r="AK285" i="8" l="1"/>
  <c r="AL285" i="8"/>
  <c r="O285" i="8"/>
  <c r="N286" i="8" s="1"/>
  <c r="I285" i="8"/>
  <c r="AN286" i="8"/>
  <c r="K285" i="8" l="1"/>
  <c r="J286" i="8" s="1"/>
  <c r="AN287" i="8"/>
  <c r="V285" i="8" l="1"/>
  <c r="E285" i="8" s="1"/>
  <c r="AN288" i="8"/>
  <c r="U286" i="8" l="1"/>
  <c r="T285" i="8"/>
  <c r="AM285" i="8" s="1"/>
  <c r="D286" i="8"/>
  <c r="AN289" i="8"/>
  <c r="AN290" i="8" l="1"/>
  <c r="AN291" i="8"/>
  <c r="R286" i="8"/>
  <c r="Z285" i="8"/>
  <c r="AL286" i="8" l="1"/>
  <c r="AK286" i="8"/>
  <c r="S286" i="8"/>
  <c r="W286" i="8"/>
  <c r="AJ286" i="8" l="1"/>
  <c r="G286" i="8" l="1"/>
  <c r="O286" i="8" l="1"/>
  <c r="F287" i="8"/>
  <c r="H287" i="8" s="1"/>
  <c r="I286" i="8"/>
  <c r="K286" i="8" l="1"/>
  <c r="N287" i="8"/>
  <c r="J287" i="8" l="1"/>
  <c r="V286" i="8"/>
  <c r="U287" i="8" l="1"/>
  <c r="E286" i="8"/>
  <c r="T286" i="8" l="1"/>
  <c r="AM286" i="8" s="1"/>
  <c r="D287" i="8"/>
  <c r="R287" i="8" l="1"/>
  <c r="Z286" i="8"/>
  <c r="AK287" i="8" l="1"/>
  <c r="AL287" i="8"/>
  <c r="S287" i="8"/>
  <c r="W287" i="8"/>
  <c r="AJ287" i="8" l="1"/>
  <c r="G287" i="8" l="1"/>
  <c r="F288" i="8" l="1"/>
  <c r="H288" i="8" s="1"/>
  <c r="I287" i="8"/>
  <c r="O287" i="8"/>
  <c r="N288" i="8" l="1"/>
  <c r="K287" i="8"/>
  <c r="J288" i="8" l="1"/>
  <c r="V287" i="8"/>
  <c r="U288" i="8" l="1"/>
  <c r="E287" i="8"/>
  <c r="T287" i="8" l="1"/>
  <c r="AM287" i="8" s="1"/>
  <c r="D288" i="8"/>
  <c r="R288" i="8" l="1"/>
  <c r="Z287" i="8"/>
  <c r="AL288" i="8" l="1"/>
  <c r="AK288" i="8"/>
  <c r="S288" i="8"/>
  <c r="W288" i="8"/>
  <c r="AJ288" i="8" l="1"/>
  <c r="G288" i="8" l="1"/>
  <c r="O288" i="8" l="1"/>
  <c r="F289" i="8"/>
  <c r="H289" i="8" s="1"/>
  <c r="I288" i="8"/>
  <c r="N289" i="8" l="1"/>
  <c r="K288" i="8"/>
  <c r="J289" i="8" l="1"/>
  <c r="V288" i="8"/>
  <c r="U289" i="8" l="1"/>
  <c r="E288" i="8"/>
  <c r="T288" i="8" l="1"/>
  <c r="AM288" i="8" s="1"/>
  <c r="D289" i="8"/>
  <c r="R289" i="8" l="1"/>
  <c r="Z288" i="8"/>
  <c r="AK289" i="8" l="1"/>
  <c r="AL289" i="8"/>
  <c r="S289" i="8"/>
  <c r="W289" i="8"/>
  <c r="AJ289" i="8" l="1"/>
  <c r="G289" i="8" l="1"/>
  <c r="F290" i="8" l="1"/>
  <c r="H290" i="8" s="1"/>
  <c r="I289" i="8"/>
  <c r="O289" i="8"/>
  <c r="N290" i="8" l="1"/>
  <c r="K289" i="8"/>
  <c r="J290" i="8" l="1"/>
  <c r="V289" i="8"/>
  <c r="U290" i="8" l="1"/>
  <c r="E289" i="8"/>
  <c r="T289" i="8" l="1"/>
  <c r="AM289" i="8" s="1"/>
  <c r="D290" i="8"/>
  <c r="R290" i="8" l="1"/>
  <c r="Z289" i="8"/>
  <c r="AL290" i="8" l="1"/>
  <c r="AK290" i="8"/>
  <c r="S290" i="8"/>
  <c r="W290" i="8"/>
  <c r="AJ290" i="8" l="1"/>
  <c r="G290" i="8" l="1"/>
  <c r="F291" i="8" l="1"/>
  <c r="H291" i="8" s="1"/>
  <c r="I290" i="8"/>
  <c r="O290" i="8"/>
  <c r="N291" i="8" l="1"/>
  <c r="K290" i="8"/>
  <c r="J291" i="8" l="1"/>
  <c r="V290" i="8"/>
  <c r="U291" i="8" l="1"/>
  <c r="E290" i="8"/>
  <c r="T290" i="8" l="1"/>
  <c r="AM290" i="8" s="1"/>
  <c r="D291" i="8"/>
  <c r="R291" i="8" l="1"/>
  <c r="Z290" i="8"/>
  <c r="AK291" i="8" l="1"/>
  <c r="AL291" i="8"/>
  <c r="S291" i="8"/>
  <c r="W291" i="8"/>
  <c r="AJ291" i="8" l="1"/>
  <c r="G291" i="8" l="1"/>
  <c r="F292" i="8" l="1"/>
  <c r="H292" i="8" s="1"/>
  <c r="I291" i="8"/>
  <c r="O291" i="8"/>
  <c r="N292" i="8" l="1"/>
  <c r="K291" i="8"/>
  <c r="J292" i="8" l="1"/>
  <c r="V291" i="8"/>
  <c r="U292" i="8" l="1"/>
  <c r="E291" i="8"/>
  <c r="T291" i="8" l="1"/>
  <c r="AM291" i="8" s="1"/>
  <c r="D292" i="8"/>
  <c r="R292" i="8" l="1"/>
  <c r="Z291" i="8"/>
  <c r="S292" i="8" l="1"/>
  <c r="AJ292" i="8" s="1"/>
  <c r="G292" i="8" s="1"/>
  <c r="AN292" i="8"/>
  <c r="AL292" i="8" s="1"/>
  <c r="W292" i="8"/>
  <c r="AK292" i="8" l="1"/>
  <c r="O292" i="8"/>
  <c r="N293" i="8" s="1"/>
  <c r="F293" i="8"/>
  <c r="H293" i="8" s="1"/>
  <c r="I292" i="8"/>
  <c r="AN293" i="8"/>
  <c r="K292" i="8" l="1"/>
  <c r="J293" i="8" s="1"/>
  <c r="AN294" i="8"/>
  <c r="V292" i="8" l="1"/>
  <c r="U293" i="8" s="1"/>
  <c r="AN295" i="8"/>
  <c r="E292" i="8" l="1"/>
  <c r="T292" i="8" s="1"/>
  <c r="AN296" i="8"/>
  <c r="AB285" i="8"/>
  <c r="AB286" i="8" s="1"/>
  <c r="AB287" i="8" s="1"/>
  <c r="AB288" i="8" s="1"/>
  <c r="AB289" i="8" s="1"/>
  <c r="AB290" i="8" s="1"/>
  <c r="AB291" i="8" s="1"/>
  <c r="AB292" i="8" s="1"/>
  <c r="AB293" i="8" s="1"/>
  <c r="AB294" i="8" s="1"/>
  <c r="AB295" i="8" s="1"/>
  <c r="AB296" i="8" s="1"/>
  <c r="D293" i="8" l="1"/>
  <c r="R293" i="8"/>
  <c r="Z292" i="8"/>
  <c r="AM292" i="8"/>
  <c r="W293" i="8" l="1"/>
  <c r="AK293" i="8"/>
  <c r="AL293" i="8"/>
  <c r="S293" i="8"/>
  <c r="AJ293" i="8" l="1"/>
  <c r="G293" i="8" l="1"/>
  <c r="O293" i="8" s="1"/>
  <c r="N294" i="8" l="1"/>
  <c r="K293" i="8"/>
  <c r="J294" i="8" s="1"/>
  <c r="F294" i="8"/>
  <c r="H294" i="8" s="1"/>
  <c r="I293" i="8"/>
  <c r="V293" i="8" l="1"/>
  <c r="U294" i="8" l="1"/>
  <c r="E293" i="8"/>
  <c r="T293" i="8" l="1"/>
  <c r="AM293" i="8" s="1"/>
  <c r="D294" i="8"/>
  <c r="R294" i="8" l="1"/>
  <c r="Z293" i="8"/>
  <c r="W294" i="8" l="1"/>
  <c r="AL294" i="8"/>
  <c r="AK294" i="8"/>
  <c r="S294" i="8"/>
  <c r="AJ294" i="8" l="1"/>
  <c r="G294" i="8" l="1"/>
  <c r="O294" i="8" s="1"/>
  <c r="N295" i="8" l="1"/>
  <c r="K294" i="8"/>
  <c r="J295" i="8" s="1"/>
  <c r="F295" i="8"/>
  <c r="H295" i="8" s="1"/>
  <c r="I294" i="8"/>
  <c r="V294" i="8" l="1"/>
  <c r="U295" i="8" s="1"/>
  <c r="E294" i="8" l="1"/>
  <c r="D295" i="8" s="1"/>
  <c r="T294" i="8" l="1"/>
  <c r="R295" i="8" s="1"/>
  <c r="AK295" i="8" l="1"/>
  <c r="AL295" i="8"/>
  <c r="AM294" i="8"/>
  <c r="Z294" i="8"/>
  <c r="S295" i="8"/>
  <c r="W295" i="8"/>
  <c r="AJ295" i="8" l="1"/>
  <c r="G295" i="8" l="1"/>
  <c r="F296" i="8" l="1"/>
  <c r="H296" i="8" s="1"/>
  <c r="I295" i="8"/>
  <c r="O295" i="8"/>
  <c r="N296" i="8" l="1"/>
  <c r="K295" i="8"/>
  <c r="J296" i="8" l="1"/>
  <c r="V295" i="8"/>
  <c r="U296" i="8" l="1"/>
  <c r="E295" i="8"/>
  <c r="T295" i="8" l="1"/>
  <c r="AM295" i="8" s="1"/>
  <c r="D296" i="8"/>
  <c r="R296" i="8" l="1"/>
  <c r="Z295" i="8"/>
  <c r="AL296" i="8" l="1"/>
  <c r="AK296" i="8"/>
  <c r="S296" i="8"/>
  <c r="W296" i="8"/>
  <c r="AJ296" i="8" l="1"/>
  <c r="G296" i="8" l="1"/>
  <c r="O296" i="8" l="1"/>
  <c r="F297" i="8"/>
  <c r="H297" i="8" s="1"/>
  <c r="I296" i="8"/>
  <c r="N297" i="8" l="1"/>
  <c r="K296" i="8"/>
  <c r="J297" i="8" l="1"/>
  <c r="V296" i="8"/>
  <c r="U297" i="8" l="1"/>
  <c r="E296" i="8"/>
  <c r="T296" i="8" l="1"/>
  <c r="AM296" i="8" s="1"/>
  <c r="D297" i="8"/>
  <c r="R297" i="8" l="1"/>
  <c r="Z296" i="8"/>
  <c r="AA297" i="8" s="1"/>
  <c r="AA298" i="8" s="1"/>
  <c r="AA299" i="8" s="1"/>
  <c r="AA300" i="8" s="1"/>
  <c r="AA301" i="8" s="1"/>
  <c r="AA302" i="8" s="1"/>
  <c r="AA303" i="8" s="1"/>
  <c r="AA304" i="8" s="1"/>
  <c r="AA305" i="8" s="1"/>
  <c r="AA306" i="8" s="1"/>
  <c r="AA307" i="8" s="1"/>
  <c r="AA308" i="8" s="1"/>
  <c r="S297" i="8" l="1"/>
  <c r="AJ297" i="8" s="1"/>
  <c r="W297" i="8"/>
  <c r="G297" i="8" l="1"/>
  <c r="I297" i="8" s="1"/>
  <c r="AN297" i="8"/>
  <c r="O297" i="8" l="1"/>
  <c r="N298" i="8" s="1"/>
  <c r="F298" i="8"/>
  <c r="H298" i="8" s="1"/>
  <c r="AK297" i="8"/>
  <c r="AL297" i="8"/>
  <c r="AN298" i="8"/>
  <c r="K297" i="8" l="1"/>
  <c r="J298" i="8" s="1"/>
  <c r="AN299" i="8"/>
  <c r="V297" i="8" l="1"/>
  <c r="U298" i="8" s="1"/>
  <c r="AN300" i="8"/>
  <c r="E297" i="8" l="1"/>
  <c r="T297" i="8" s="1"/>
  <c r="AM297" i="8" s="1"/>
  <c r="AN301" i="8"/>
  <c r="D298" i="8" l="1"/>
  <c r="AN303" i="8"/>
  <c r="AN302" i="8"/>
  <c r="R298" i="8"/>
  <c r="Z297" i="8"/>
  <c r="W298" i="8" l="1"/>
  <c r="AL298" i="8"/>
  <c r="AK298" i="8"/>
  <c r="S298" i="8"/>
  <c r="AJ298" i="8" l="1"/>
  <c r="G298" i="8" l="1"/>
  <c r="O298" i="8" s="1"/>
  <c r="K298" i="8" s="1"/>
  <c r="J299" i="8" s="1"/>
  <c r="V298" i="8" l="1"/>
  <c r="U299" i="8" s="1"/>
  <c r="N299" i="8"/>
  <c r="F299" i="8"/>
  <c r="H299" i="8" s="1"/>
  <c r="I298" i="8"/>
  <c r="E298" i="8" l="1"/>
  <c r="T298" i="8" s="1"/>
  <c r="AM298" i="8" s="1"/>
  <c r="D299" i="8" l="1"/>
  <c r="R299" i="8"/>
  <c r="Z298" i="8"/>
  <c r="W299" i="8" l="1"/>
  <c r="AK299" i="8"/>
  <c r="AL299" i="8"/>
  <c r="S299" i="8"/>
  <c r="AJ299" i="8" l="1"/>
  <c r="G299" i="8" l="1"/>
  <c r="O299" i="8" l="1"/>
  <c r="F300" i="8"/>
  <c r="H300" i="8" s="1"/>
  <c r="I299" i="8"/>
  <c r="N300" i="8" l="1"/>
  <c r="K299" i="8"/>
  <c r="J300" i="8" l="1"/>
  <c r="V299" i="8"/>
  <c r="U300" i="8" l="1"/>
  <c r="E299" i="8"/>
  <c r="T299" i="8" l="1"/>
  <c r="AM299" i="8" s="1"/>
  <c r="D300" i="8"/>
  <c r="R300" i="8" l="1"/>
  <c r="Z299" i="8"/>
  <c r="AL300" i="8" l="1"/>
  <c r="AK300" i="8"/>
  <c r="S300" i="8"/>
  <c r="W300" i="8"/>
  <c r="AJ300" i="8" l="1"/>
  <c r="G300" i="8" l="1"/>
  <c r="O300" i="8" l="1"/>
  <c r="F301" i="8"/>
  <c r="H301" i="8" s="1"/>
  <c r="I300" i="8"/>
  <c r="K300" i="8" l="1"/>
  <c r="N301" i="8"/>
  <c r="J301" i="8" l="1"/>
  <c r="V300" i="8"/>
  <c r="U301" i="8" l="1"/>
  <c r="E300" i="8"/>
  <c r="T300" i="8" l="1"/>
  <c r="AM300" i="8" s="1"/>
  <c r="D301" i="8"/>
  <c r="R301" i="8" l="1"/>
  <c r="Z300" i="8"/>
  <c r="AK301" i="8" l="1"/>
  <c r="AL301" i="8"/>
  <c r="S301" i="8"/>
  <c r="W301" i="8"/>
  <c r="AJ301" i="8" l="1"/>
  <c r="G301" i="8" l="1"/>
  <c r="O301" i="8" s="1"/>
  <c r="N302" i="8" l="1"/>
  <c r="K301" i="8"/>
  <c r="F302" i="8"/>
  <c r="H302" i="8" s="1"/>
  <c r="I301" i="8"/>
  <c r="J302" i="8" l="1"/>
  <c r="V301" i="8"/>
  <c r="U302" i="8" l="1"/>
  <c r="E301" i="8"/>
  <c r="T301" i="8" l="1"/>
  <c r="AM301" i="8" s="1"/>
  <c r="D302" i="8"/>
  <c r="R302" i="8" l="1"/>
  <c r="Z301" i="8"/>
  <c r="AL302" i="8" l="1"/>
  <c r="AK302" i="8"/>
  <c r="S302" i="8"/>
  <c r="W302" i="8"/>
  <c r="AJ302" i="8" l="1"/>
  <c r="G302" i="8" l="1"/>
  <c r="F303" i="8" l="1"/>
  <c r="H303" i="8" s="1"/>
  <c r="I302" i="8"/>
  <c r="O302" i="8"/>
  <c r="N303" i="8" l="1"/>
  <c r="K302" i="8"/>
  <c r="J303" i="8" l="1"/>
  <c r="V302" i="8"/>
  <c r="U303" i="8" l="1"/>
  <c r="E302" i="8"/>
  <c r="T302" i="8" l="1"/>
  <c r="AM302" i="8" s="1"/>
  <c r="D303" i="8"/>
  <c r="R303" i="8" l="1"/>
  <c r="Z302" i="8"/>
  <c r="AK303" i="8" l="1"/>
  <c r="AL303" i="8"/>
  <c r="S303" i="8"/>
  <c r="W303" i="8"/>
  <c r="AJ303" i="8" l="1"/>
  <c r="G303" i="8" l="1"/>
  <c r="O303" i="8" l="1"/>
  <c r="F304" i="8"/>
  <c r="H304" i="8" s="1"/>
  <c r="I303" i="8"/>
  <c r="N304" i="8" l="1"/>
  <c r="K303" i="8"/>
  <c r="J304" i="8" l="1"/>
  <c r="V303" i="8"/>
  <c r="E303" i="8" l="1"/>
  <c r="U304" i="8"/>
  <c r="T303" i="8" l="1"/>
  <c r="AM303" i="8" s="1"/>
  <c r="D304" i="8"/>
  <c r="R304" i="8" l="1"/>
  <c r="Z303" i="8"/>
  <c r="S304" i="8" l="1"/>
  <c r="AJ304" i="8" s="1"/>
  <c r="G304" i="8" s="1"/>
  <c r="AN304" i="8"/>
  <c r="AL304" i="8" s="1"/>
  <c r="W304" i="8"/>
  <c r="AK304" i="8" l="1"/>
  <c r="AN305" i="8"/>
  <c r="O304" i="8"/>
  <c r="F305" i="8"/>
  <c r="H305" i="8" s="1"/>
  <c r="I304" i="8"/>
  <c r="N305" i="8" l="1"/>
  <c r="K304" i="8"/>
  <c r="AN306" i="8"/>
  <c r="AN307" i="8" l="1"/>
  <c r="J305" i="8"/>
  <c r="V304" i="8"/>
  <c r="AN308" i="8" l="1"/>
  <c r="AB297" i="8"/>
  <c r="AB298" i="8" s="1"/>
  <c r="AB299" i="8" s="1"/>
  <c r="AB300" i="8" s="1"/>
  <c r="AB301" i="8" s="1"/>
  <c r="AB302" i="8" s="1"/>
  <c r="AB303" i="8" s="1"/>
  <c r="AB304" i="8" s="1"/>
  <c r="AB305" i="8" s="1"/>
  <c r="AB306" i="8" s="1"/>
  <c r="AB307" i="8" s="1"/>
  <c r="AB308" i="8" s="1"/>
  <c r="U305" i="8"/>
  <c r="E304" i="8"/>
  <c r="T304" i="8" l="1"/>
  <c r="AM304" i="8" s="1"/>
  <c r="D305" i="8"/>
  <c r="R305" i="8" l="1"/>
  <c r="Z304" i="8"/>
  <c r="AK305" i="8" l="1"/>
  <c r="AL305" i="8"/>
  <c r="S305" i="8"/>
  <c r="W305" i="8"/>
  <c r="AJ305" i="8" l="1"/>
  <c r="G305" i="8" l="1"/>
  <c r="O305" i="8" s="1"/>
  <c r="N306" i="8" l="1"/>
  <c r="K305" i="8"/>
  <c r="J306" i="8" s="1"/>
  <c r="F306" i="8"/>
  <c r="H306" i="8" s="1"/>
  <c r="I305" i="8"/>
  <c r="V305" i="8" l="1"/>
  <c r="U306" i="8" s="1"/>
  <c r="E305" i="8" l="1"/>
  <c r="T305" i="8" s="1"/>
  <c r="AM305" i="8" s="1"/>
  <c r="D306" i="8" l="1"/>
  <c r="R306" i="8"/>
  <c r="Z305" i="8"/>
  <c r="AL306" i="8" l="1"/>
  <c r="AK306" i="8"/>
  <c r="S306" i="8"/>
  <c r="W306" i="8"/>
  <c r="AJ306" i="8" l="1"/>
  <c r="G306" i="8" l="1"/>
  <c r="O306" i="8" s="1"/>
  <c r="N307" i="8" l="1"/>
  <c r="F307" i="8"/>
  <c r="H307" i="8" s="1"/>
  <c r="I306" i="8"/>
  <c r="K306" i="8"/>
  <c r="J307" i="8" s="1"/>
  <c r="V306" i="8" l="1"/>
  <c r="U307" i="8" l="1"/>
  <c r="E306" i="8"/>
  <c r="T306" i="8" l="1"/>
  <c r="AM306" i="8" s="1"/>
  <c r="D307" i="8"/>
  <c r="R307" i="8" l="1"/>
  <c r="Z306" i="8"/>
  <c r="AK307" i="8" l="1"/>
  <c r="AL307" i="8"/>
  <c r="S307" i="8"/>
  <c r="W307" i="8"/>
  <c r="AJ307" i="8" l="1"/>
  <c r="G307" i="8" l="1"/>
  <c r="O307" i="8" l="1"/>
  <c r="F308" i="8"/>
  <c r="H308" i="8" s="1"/>
  <c r="I307" i="8"/>
  <c r="N308" i="8" l="1"/>
  <c r="K307" i="8"/>
  <c r="J308" i="8" l="1"/>
  <c r="V307" i="8"/>
  <c r="U308" i="8" l="1"/>
  <c r="E307" i="8"/>
  <c r="T307" i="8" l="1"/>
  <c r="AM307" i="8" s="1"/>
  <c r="D308" i="8"/>
  <c r="R308" i="8" l="1"/>
  <c r="Z307" i="8"/>
  <c r="AL308" i="8" l="1"/>
  <c r="AK308" i="8"/>
  <c r="S308" i="8"/>
  <c r="W308" i="8"/>
  <c r="AJ308" i="8" l="1"/>
  <c r="G308" i="8" l="1"/>
  <c r="O308" i="8" l="1"/>
  <c r="F309" i="8"/>
  <c r="H309" i="8" s="1"/>
  <c r="I308" i="8"/>
  <c r="N309" i="8" l="1"/>
  <c r="K308" i="8"/>
  <c r="J309" i="8" l="1"/>
  <c r="V308" i="8"/>
  <c r="U309" i="8" l="1"/>
  <c r="E308" i="8"/>
  <c r="T308" i="8" l="1"/>
  <c r="AM308" i="8" s="1"/>
  <c r="D309" i="8"/>
  <c r="R309" i="8" l="1"/>
  <c r="Z308" i="8"/>
  <c r="AA309" i="8" s="1"/>
  <c r="AA310" i="8" s="1"/>
  <c r="AA311" i="8" s="1"/>
  <c r="AA312" i="8" s="1"/>
  <c r="AA313" i="8" s="1"/>
  <c r="AA314" i="8" s="1"/>
  <c r="AA315" i="8" s="1"/>
  <c r="AA316" i="8" s="1"/>
  <c r="AA317" i="8" s="1"/>
  <c r="AA318" i="8" s="1"/>
  <c r="AA319" i="8" s="1"/>
  <c r="AA320" i="8" s="1"/>
  <c r="S309" i="8" l="1"/>
  <c r="AJ309" i="8" s="1"/>
  <c r="W309" i="8"/>
  <c r="G309" i="8" l="1"/>
  <c r="I309" i="8" s="1"/>
  <c r="AN309" i="8"/>
  <c r="O309" i="8" l="1"/>
  <c r="N310" i="8" s="1"/>
  <c r="AK309" i="8"/>
  <c r="AL309" i="8"/>
  <c r="F310" i="8"/>
  <c r="H310" i="8" s="1"/>
  <c r="AN310" i="8"/>
  <c r="K309" i="8" l="1"/>
  <c r="V309" i="8" s="1"/>
  <c r="AN311" i="8"/>
  <c r="J310" i="8" l="1"/>
  <c r="U310" i="8"/>
  <c r="E309" i="8"/>
  <c r="AN312" i="8"/>
  <c r="AN313" i="8" l="1"/>
  <c r="T309" i="8"/>
  <c r="AM309" i="8" s="1"/>
  <c r="D310" i="8"/>
  <c r="R310" i="8" l="1"/>
  <c r="Z309" i="8"/>
  <c r="AN314" i="8"/>
  <c r="AL310" i="8" l="1"/>
  <c r="AK310" i="8"/>
  <c r="S310" i="8"/>
  <c r="AN315" i="8"/>
  <c r="W310" i="8"/>
  <c r="AJ310" i="8" l="1"/>
  <c r="G310" i="8" l="1"/>
  <c r="O310" i="8" l="1"/>
  <c r="F311" i="8"/>
  <c r="H311" i="8" s="1"/>
  <c r="I310" i="8"/>
  <c r="K310" i="8" l="1"/>
  <c r="N311" i="8"/>
  <c r="J311" i="8" l="1"/>
  <c r="V310" i="8"/>
  <c r="U311" i="8" l="1"/>
  <c r="E310" i="8"/>
  <c r="T310" i="8" l="1"/>
  <c r="AM310" i="8" s="1"/>
  <c r="D311" i="8"/>
  <c r="R311" i="8" l="1"/>
  <c r="Z310" i="8"/>
  <c r="AK311" i="8" l="1"/>
  <c r="AL311" i="8"/>
  <c r="S311" i="8"/>
  <c r="W311" i="8"/>
  <c r="AJ311" i="8" l="1"/>
  <c r="G311" i="8" l="1"/>
  <c r="F312" i="8" l="1"/>
  <c r="H312" i="8" s="1"/>
  <c r="I311" i="8"/>
  <c r="O311" i="8"/>
  <c r="N312" i="8" l="1"/>
  <c r="K311" i="8"/>
  <c r="J312" i="8" l="1"/>
  <c r="V311" i="8"/>
  <c r="U312" i="8" l="1"/>
  <c r="E311" i="8"/>
  <c r="T311" i="8" l="1"/>
  <c r="AM311" i="8" s="1"/>
  <c r="D312" i="8"/>
  <c r="R312" i="8" l="1"/>
  <c r="Z311" i="8"/>
  <c r="AL312" i="8" l="1"/>
  <c r="AK312" i="8"/>
  <c r="S312" i="8"/>
  <c r="W312" i="8"/>
  <c r="AJ312" i="8" l="1"/>
  <c r="G312" i="8" l="1"/>
  <c r="O312" i="8" s="1"/>
  <c r="N313" i="8" l="1"/>
  <c r="K312" i="8"/>
  <c r="J313" i="8" s="1"/>
  <c r="F313" i="8"/>
  <c r="H313" i="8" s="1"/>
  <c r="I312" i="8"/>
  <c r="V312" i="8" l="1"/>
  <c r="E312" i="8" s="1"/>
  <c r="U313" i="8" l="1"/>
  <c r="T312" i="8"/>
  <c r="AM312" i="8" s="1"/>
  <c r="D313" i="8"/>
  <c r="R313" i="8" l="1"/>
  <c r="Z312" i="8"/>
  <c r="W313" i="8" l="1"/>
  <c r="AK313" i="8"/>
  <c r="AL313" i="8"/>
  <c r="S313" i="8"/>
  <c r="AJ313" i="8" s="1"/>
  <c r="G313" i="8" l="1"/>
  <c r="O313" i="8" l="1"/>
  <c r="F314" i="8"/>
  <c r="H314" i="8" s="1"/>
  <c r="I313" i="8"/>
  <c r="N314" i="8" l="1"/>
  <c r="K313" i="8"/>
  <c r="J314" i="8" l="1"/>
  <c r="V313" i="8"/>
  <c r="U314" i="8" l="1"/>
  <c r="E313" i="8"/>
  <c r="D314" i="8" l="1"/>
  <c r="T313" i="8"/>
  <c r="AM313" i="8" l="1"/>
  <c r="R314" i="8"/>
  <c r="Z313" i="8"/>
  <c r="W314" i="8" l="1"/>
  <c r="AL314" i="8"/>
  <c r="AK314" i="8"/>
  <c r="S314" i="8"/>
  <c r="AJ314" i="8" l="1"/>
  <c r="G314" i="8" l="1"/>
  <c r="F315" i="8" l="1"/>
  <c r="H315" i="8" s="1"/>
  <c r="I314" i="8"/>
  <c r="O314" i="8"/>
  <c r="N315" i="8" l="1"/>
  <c r="K314" i="8"/>
  <c r="J315" i="8" l="1"/>
  <c r="V314" i="8"/>
  <c r="U315" i="8" l="1"/>
  <c r="E314" i="8"/>
  <c r="T314" i="8" l="1"/>
  <c r="AM314" i="8" s="1"/>
  <c r="D315" i="8"/>
  <c r="R315" i="8" l="1"/>
  <c r="Z314" i="8"/>
  <c r="AK315" i="8" l="1"/>
  <c r="AL315" i="8"/>
  <c r="S315" i="8"/>
  <c r="W315" i="8"/>
  <c r="AJ315" i="8" l="1"/>
  <c r="G315" i="8" l="1"/>
  <c r="F316" i="8" l="1"/>
  <c r="H316" i="8" s="1"/>
  <c r="I315" i="8"/>
  <c r="O315" i="8"/>
  <c r="N316" i="8" l="1"/>
  <c r="K315" i="8"/>
  <c r="J316" i="8" l="1"/>
  <c r="V315" i="8"/>
  <c r="U316" i="8" l="1"/>
  <c r="E315" i="8"/>
  <c r="T315" i="8" l="1"/>
  <c r="AM315" i="8" s="1"/>
  <c r="D316" i="8"/>
  <c r="R316" i="8" l="1"/>
  <c r="Z315" i="8"/>
  <c r="S316" i="8" l="1"/>
  <c r="AJ316" i="8" s="1"/>
  <c r="G316" i="8" s="1"/>
  <c r="AN316" i="8"/>
  <c r="AL316" i="8" s="1"/>
  <c r="W316" i="8"/>
  <c r="AK316" i="8" l="1"/>
  <c r="O316" i="8"/>
  <c r="AN317" i="8"/>
  <c r="F317" i="8"/>
  <c r="H317" i="8" s="1"/>
  <c r="I316" i="8"/>
  <c r="N317" i="8" l="1"/>
  <c r="K316" i="8"/>
  <c r="AN318" i="8"/>
  <c r="AN319" i="8" l="1"/>
  <c r="J317" i="8"/>
  <c r="V316" i="8"/>
  <c r="AN320" i="8" l="1"/>
  <c r="AB309" i="8"/>
  <c r="AB310" i="8" s="1"/>
  <c r="AB311" i="8" s="1"/>
  <c r="AB312" i="8" s="1"/>
  <c r="AB313" i="8" s="1"/>
  <c r="AB314" i="8" s="1"/>
  <c r="AB315" i="8" s="1"/>
  <c r="AB316" i="8" s="1"/>
  <c r="AB317" i="8" s="1"/>
  <c r="AB318" i="8" s="1"/>
  <c r="AB319" i="8" s="1"/>
  <c r="AB320" i="8" s="1"/>
  <c r="U317" i="8"/>
  <c r="E316" i="8"/>
  <c r="T316" i="8" l="1"/>
  <c r="AM316" i="8" s="1"/>
  <c r="D317" i="8"/>
  <c r="R317" i="8" l="1"/>
  <c r="Z316" i="8"/>
  <c r="AK317" i="8" l="1"/>
  <c r="AL317" i="8"/>
  <c r="S317" i="8"/>
  <c r="W317" i="8"/>
  <c r="AJ317" i="8" l="1"/>
  <c r="G317" i="8" l="1"/>
  <c r="O317" i="8" s="1"/>
  <c r="N318" i="8" l="1"/>
  <c r="K317" i="8"/>
  <c r="J318" i="8" s="1"/>
  <c r="F318" i="8"/>
  <c r="H318" i="8" s="1"/>
  <c r="I317" i="8"/>
  <c r="V317" i="8" l="1"/>
  <c r="U318" i="8" l="1"/>
  <c r="E317" i="8"/>
  <c r="T317" i="8" l="1"/>
  <c r="AM317" i="8" s="1"/>
  <c r="D318" i="8"/>
  <c r="R318" i="8" l="1"/>
  <c r="Z317" i="8"/>
  <c r="AL318" i="8" l="1"/>
  <c r="AK318" i="8"/>
  <c r="S318" i="8"/>
  <c r="W318" i="8"/>
  <c r="AJ318" i="8" l="1"/>
  <c r="G318" i="8" l="1"/>
  <c r="O318" i="8" s="1"/>
  <c r="N319" i="8" l="1"/>
  <c r="F319" i="8"/>
  <c r="H319" i="8" s="1"/>
  <c r="I318" i="8"/>
  <c r="K318" i="8"/>
  <c r="J319" i="8" s="1"/>
  <c r="V318" i="8" l="1"/>
  <c r="U319" i="8" l="1"/>
  <c r="E318" i="8"/>
  <c r="T318" i="8" l="1"/>
  <c r="AM318" i="8" s="1"/>
  <c r="D319" i="8"/>
  <c r="R319" i="8" l="1"/>
  <c r="Z318" i="8"/>
  <c r="AK319" i="8" l="1"/>
  <c r="AL319" i="8"/>
  <c r="S319" i="8"/>
  <c r="W319" i="8"/>
  <c r="AJ319" i="8" l="1"/>
  <c r="G319" i="8" l="1"/>
  <c r="F320" i="8" l="1"/>
  <c r="H320" i="8" s="1"/>
  <c r="I319" i="8"/>
  <c r="O319" i="8"/>
  <c r="N320" i="8" l="1"/>
  <c r="K319" i="8"/>
  <c r="J320" i="8" l="1"/>
  <c r="V319" i="8"/>
  <c r="U320" i="8" l="1"/>
  <c r="E319" i="8"/>
  <c r="T319" i="8" l="1"/>
  <c r="AM319" i="8" s="1"/>
  <c r="D320" i="8"/>
  <c r="R320" i="8" l="1"/>
  <c r="Z319" i="8"/>
  <c r="AL320" i="8" l="1"/>
  <c r="AK320" i="8"/>
  <c r="S320" i="8"/>
  <c r="W320" i="8"/>
  <c r="AJ320" i="8" l="1"/>
  <c r="G320" i="8" l="1"/>
  <c r="O320" i="8" s="1"/>
  <c r="N321" i="8" l="1"/>
  <c r="K320" i="8"/>
  <c r="J321" i="8" s="1"/>
  <c r="F321" i="8"/>
  <c r="H321" i="8" s="1"/>
  <c r="I320" i="8"/>
  <c r="V320" i="8" l="1"/>
  <c r="U321" i="8" s="1"/>
  <c r="E320" i="8" l="1"/>
  <c r="T320" i="8" s="1"/>
  <c r="AM320" i="8" s="1"/>
  <c r="D321" i="8" l="1"/>
  <c r="R321" i="8"/>
  <c r="Z320" i="8"/>
  <c r="AA321" i="8" s="1"/>
  <c r="AA322" i="8" s="1"/>
  <c r="AA323" i="8" s="1"/>
  <c r="AA324" i="8" s="1"/>
  <c r="AA325" i="8" s="1"/>
  <c r="AA326" i="8" s="1"/>
  <c r="AA327" i="8" s="1"/>
  <c r="AA328" i="8" s="1"/>
  <c r="AA329" i="8" s="1"/>
  <c r="AA330" i="8" s="1"/>
  <c r="AA331" i="8" s="1"/>
  <c r="AA332" i="8" s="1"/>
  <c r="S321" i="8" l="1"/>
  <c r="AJ321" i="8" s="1"/>
  <c r="G321" i="8" s="1"/>
  <c r="O321" i="8" s="1"/>
  <c r="AN321" i="8"/>
  <c r="AK321" i="8" s="1"/>
  <c r="W321" i="8"/>
  <c r="AL321" i="8" l="1"/>
  <c r="N322" i="8"/>
  <c r="K321" i="8"/>
  <c r="AN322" i="8"/>
  <c r="F322" i="8"/>
  <c r="H322" i="8" s="1"/>
  <c r="I321" i="8"/>
  <c r="J322" i="8" l="1"/>
  <c r="V321" i="8"/>
  <c r="AN323" i="8"/>
  <c r="AN324" i="8" l="1"/>
  <c r="U322" i="8"/>
  <c r="E321" i="8"/>
  <c r="T321" i="8" l="1"/>
  <c r="AM321" i="8" s="1"/>
  <c r="D322" i="8"/>
  <c r="AN325" i="8"/>
  <c r="AN326" i="8" l="1"/>
  <c r="AN327" i="8"/>
  <c r="R322" i="8"/>
  <c r="Z321" i="8"/>
  <c r="AL322" i="8" l="1"/>
  <c r="AK322" i="8"/>
  <c r="S322" i="8"/>
  <c r="W322" i="8"/>
  <c r="AJ322" i="8" l="1"/>
  <c r="G322" i="8" l="1"/>
  <c r="O322" i="8" l="1"/>
  <c r="F323" i="8"/>
  <c r="H323" i="8" s="1"/>
  <c r="I322" i="8"/>
  <c r="N323" i="8" l="1"/>
  <c r="K322" i="8"/>
  <c r="J323" i="8" l="1"/>
  <c r="V322" i="8"/>
  <c r="U323" i="8" l="1"/>
  <c r="E322" i="8"/>
  <c r="T322" i="8" l="1"/>
  <c r="AM322" i="8" s="1"/>
  <c r="D323" i="8"/>
  <c r="R323" i="8" l="1"/>
  <c r="Z322" i="8"/>
  <c r="AK323" i="8" l="1"/>
  <c r="AL323" i="8"/>
  <c r="S323" i="8"/>
  <c r="W323" i="8"/>
  <c r="AJ323" i="8" l="1"/>
  <c r="G323" i="8" l="1"/>
  <c r="O323" i="8" l="1"/>
  <c r="F324" i="8"/>
  <c r="H324" i="8" s="1"/>
  <c r="I323" i="8"/>
  <c r="N324" i="8" l="1"/>
  <c r="K323" i="8"/>
  <c r="J324" i="8" l="1"/>
  <c r="V323" i="8"/>
  <c r="U324" i="8" l="1"/>
  <c r="E323" i="8"/>
  <c r="T323" i="8" l="1"/>
  <c r="AM323" i="8" s="1"/>
  <c r="D324" i="8"/>
  <c r="R324" i="8" l="1"/>
  <c r="Z323" i="8"/>
  <c r="AL324" i="8" l="1"/>
  <c r="AK324" i="8"/>
  <c r="S324" i="8"/>
  <c r="W324" i="8"/>
  <c r="AJ324" i="8" l="1"/>
  <c r="G324" i="8" l="1"/>
  <c r="O324" i="8" s="1"/>
  <c r="N325" i="8" l="1"/>
  <c r="F325" i="8"/>
  <c r="H325" i="8" s="1"/>
  <c r="I324" i="8"/>
  <c r="K324" i="8"/>
  <c r="J325" i="8" s="1"/>
  <c r="V324" i="8" l="1"/>
  <c r="U325" i="8" l="1"/>
  <c r="E324" i="8"/>
  <c r="T324" i="8" l="1"/>
  <c r="AM324" i="8" s="1"/>
  <c r="D325" i="8"/>
  <c r="R325" i="8" l="1"/>
  <c r="Z324" i="8"/>
  <c r="AK325" i="8" l="1"/>
  <c r="AL325" i="8"/>
  <c r="S325" i="8"/>
  <c r="W325" i="8"/>
  <c r="AJ325" i="8" l="1"/>
  <c r="G325" i="8" l="1"/>
  <c r="O325" i="8" l="1"/>
  <c r="F326" i="8"/>
  <c r="H326" i="8" s="1"/>
  <c r="I325" i="8"/>
  <c r="N326" i="8" l="1"/>
  <c r="K325" i="8"/>
  <c r="J326" i="8" l="1"/>
  <c r="V325" i="8"/>
  <c r="U326" i="8" l="1"/>
  <c r="E325" i="8"/>
  <c r="T325" i="8" l="1"/>
  <c r="AM325" i="8" s="1"/>
  <c r="D326" i="8"/>
  <c r="R326" i="8" l="1"/>
  <c r="Z325" i="8"/>
  <c r="AL326" i="8" l="1"/>
  <c r="AK326" i="8"/>
  <c r="S326" i="8"/>
  <c r="W326" i="8"/>
  <c r="AJ326" i="8" l="1"/>
  <c r="G326" i="8" l="1"/>
  <c r="F327" i="8" l="1"/>
  <c r="H327" i="8" s="1"/>
  <c r="I326" i="8"/>
  <c r="O326" i="8"/>
  <c r="N327" i="8" l="1"/>
  <c r="K326" i="8"/>
  <c r="J327" i="8" l="1"/>
  <c r="V326" i="8"/>
  <c r="U327" i="8" l="1"/>
  <c r="E326" i="8"/>
  <c r="T326" i="8" l="1"/>
  <c r="AM326" i="8" s="1"/>
  <c r="D327" i="8"/>
  <c r="R327" i="8" l="1"/>
  <c r="Z326" i="8"/>
  <c r="AK327" i="8" l="1"/>
  <c r="AL327" i="8"/>
  <c r="S327" i="8"/>
  <c r="W327" i="8"/>
  <c r="AJ327" i="8" l="1"/>
  <c r="G327" i="8" l="1"/>
  <c r="F328" i="8" l="1"/>
  <c r="H328" i="8" s="1"/>
  <c r="I327" i="8"/>
  <c r="O327" i="8"/>
  <c r="N328" i="8" l="1"/>
  <c r="K327" i="8"/>
  <c r="J328" i="8" l="1"/>
  <c r="V327" i="8"/>
  <c r="U328" i="8" l="1"/>
  <c r="E327" i="8"/>
  <c r="T327" i="8" l="1"/>
  <c r="AM327" i="8" s="1"/>
  <c r="D328" i="8"/>
  <c r="R328" i="8" l="1"/>
  <c r="Z327" i="8"/>
  <c r="S328" i="8" l="1"/>
  <c r="AJ328" i="8" s="1"/>
  <c r="G328" i="8" s="1"/>
  <c r="AN328" i="8"/>
  <c r="AL328" i="8" s="1"/>
  <c r="W328" i="8"/>
  <c r="AK328" i="8" l="1"/>
  <c r="O328" i="8"/>
  <c r="N329" i="8" s="1"/>
  <c r="AN329" i="8"/>
  <c r="F329" i="8"/>
  <c r="H329" i="8" s="1"/>
  <c r="I328" i="8"/>
  <c r="K328" i="8" l="1"/>
  <c r="J329" i="8" s="1"/>
  <c r="AN330" i="8"/>
  <c r="V328" i="8" l="1"/>
  <c r="E328" i="8" s="1"/>
  <c r="AN331" i="8"/>
  <c r="U329" i="8" l="1"/>
  <c r="T328" i="8"/>
  <c r="AM328" i="8" s="1"/>
  <c r="D329" i="8"/>
  <c r="AN332" i="8"/>
  <c r="AB321" i="8"/>
  <c r="AB322" i="8" s="1"/>
  <c r="AB323" i="8" s="1"/>
  <c r="AB324" i="8" s="1"/>
  <c r="AB325" i="8" s="1"/>
  <c r="AB326" i="8" s="1"/>
  <c r="AB327" i="8" s="1"/>
  <c r="AB328" i="8" s="1"/>
  <c r="AB329" i="8" s="1"/>
  <c r="AB330" i="8" s="1"/>
  <c r="AB331" i="8" s="1"/>
  <c r="AB332" i="8" s="1"/>
  <c r="R329" i="8" l="1"/>
  <c r="Z328" i="8"/>
  <c r="AK329" i="8" l="1"/>
  <c r="AL329" i="8"/>
  <c r="S329" i="8"/>
  <c r="W329" i="8"/>
  <c r="AJ329" i="8" l="1"/>
  <c r="G329" i="8" l="1"/>
  <c r="O329" i="8" l="1"/>
  <c r="F330" i="8"/>
  <c r="H330" i="8" s="1"/>
  <c r="I329" i="8"/>
  <c r="K329" i="8" l="1"/>
  <c r="N330" i="8"/>
  <c r="J330" i="8" l="1"/>
  <c r="V329" i="8"/>
  <c r="U330" i="8" l="1"/>
  <c r="E329" i="8"/>
  <c r="T329" i="8" l="1"/>
  <c r="AM329" i="8" s="1"/>
  <c r="D330" i="8"/>
  <c r="R330" i="8" l="1"/>
  <c r="Z329" i="8"/>
  <c r="W330" i="8" l="1"/>
  <c r="AL330" i="8"/>
  <c r="AK330" i="8"/>
  <c r="S330" i="8"/>
  <c r="AJ330" i="8" l="1"/>
  <c r="G330" i="8" l="1"/>
  <c r="F331" i="8" l="1"/>
  <c r="H331" i="8" s="1"/>
  <c r="I330" i="8"/>
  <c r="O330" i="8"/>
  <c r="N331" i="8" l="1"/>
  <c r="K330" i="8"/>
  <c r="J331" i="8" l="1"/>
  <c r="V330" i="8"/>
  <c r="U331" i="8" l="1"/>
  <c r="E330" i="8"/>
  <c r="T330" i="8" l="1"/>
  <c r="AM330" i="8" s="1"/>
  <c r="D331" i="8"/>
  <c r="R331" i="8" l="1"/>
  <c r="Z330" i="8"/>
  <c r="AK331" i="8" l="1"/>
  <c r="AL331" i="8"/>
  <c r="S331" i="8"/>
  <c r="W331" i="8"/>
  <c r="AJ331" i="8" l="1"/>
  <c r="G331" i="8" l="1"/>
  <c r="O331" i="8" l="1"/>
  <c r="F332" i="8"/>
  <c r="H332" i="8" s="1"/>
  <c r="I331" i="8"/>
  <c r="N332" i="8" l="1"/>
  <c r="K331" i="8"/>
  <c r="J332" i="8" l="1"/>
  <c r="V331" i="8"/>
  <c r="U332" i="8" l="1"/>
  <c r="E331" i="8"/>
  <c r="T331" i="8" l="1"/>
  <c r="AM331" i="8" s="1"/>
  <c r="D332" i="8"/>
  <c r="R332" i="8" l="1"/>
  <c r="Z331" i="8"/>
  <c r="AL332" i="8" l="1"/>
  <c r="AK332" i="8"/>
  <c r="S332" i="8"/>
  <c r="W332" i="8"/>
  <c r="AJ332" i="8" l="1"/>
  <c r="G332" i="8" l="1"/>
  <c r="O332" i="8" l="1"/>
  <c r="F333" i="8"/>
  <c r="H333" i="8" s="1"/>
  <c r="I332" i="8"/>
  <c r="N333" i="8" l="1"/>
  <c r="K332" i="8"/>
  <c r="J333" i="8" l="1"/>
  <c r="V332" i="8"/>
  <c r="U333" i="8" l="1"/>
  <c r="E332" i="8"/>
  <c r="T332" i="8" l="1"/>
  <c r="AM332" i="8" s="1"/>
  <c r="D333" i="8"/>
  <c r="R333" i="8" l="1"/>
  <c r="Z332" i="8"/>
  <c r="AA333" i="8" s="1"/>
  <c r="AA334" i="8" s="1"/>
  <c r="AA335" i="8" s="1"/>
  <c r="AA336" i="8" s="1"/>
  <c r="AA337" i="8" s="1"/>
  <c r="AA338" i="8" s="1"/>
  <c r="AA339" i="8" s="1"/>
  <c r="AA340" i="8" s="1"/>
  <c r="AA341" i="8" s="1"/>
  <c r="AA342" i="8" s="1"/>
  <c r="AA343" i="8" s="1"/>
  <c r="AA344" i="8" s="1"/>
  <c r="AN333" i="8" l="1"/>
  <c r="AK333" i="8" s="1"/>
  <c r="S333" i="8"/>
  <c r="AJ333" i="8" s="1"/>
  <c r="G333" i="8" s="1"/>
  <c r="W333" i="8"/>
  <c r="AL333" i="8" l="1"/>
  <c r="O333" i="8"/>
  <c r="N334" i="8" s="1"/>
  <c r="AN334" i="8"/>
  <c r="F334" i="8"/>
  <c r="H334" i="8" s="1"/>
  <c r="I333" i="8"/>
  <c r="K333" i="8" l="1"/>
  <c r="AN335" i="8"/>
  <c r="J334" i="8" l="1"/>
  <c r="V333" i="8"/>
  <c r="AN336" i="8"/>
  <c r="U334" i="8" l="1"/>
  <c r="E333" i="8"/>
  <c r="AN337" i="8"/>
  <c r="T333" i="8" l="1"/>
  <c r="D334" i="8"/>
  <c r="AN338" i="8"/>
  <c r="AN339" i="8"/>
  <c r="R334" i="8" l="1"/>
  <c r="Z333" i="8"/>
  <c r="AM333" i="8"/>
  <c r="AL334" i="8" l="1"/>
  <c r="AK334" i="8"/>
  <c r="S334" i="8"/>
  <c r="AJ334" i="8" s="1"/>
  <c r="G334" i="8" s="1"/>
  <c r="O334" i="8" s="1"/>
  <c r="W334" i="8"/>
  <c r="N335" i="8" l="1"/>
  <c r="K334" i="8"/>
  <c r="F335" i="8"/>
  <c r="H335" i="8" s="1"/>
  <c r="I334" i="8"/>
  <c r="J335" i="8" l="1"/>
  <c r="V334" i="8"/>
  <c r="U335" i="8" l="1"/>
  <c r="E334" i="8"/>
  <c r="T334" i="8" l="1"/>
  <c r="AM334" i="8" s="1"/>
  <c r="D335" i="8"/>
  <c r="R335" i="8" l="1"/>
  <c r="Z334" i="8"/>
  <c r="AK335" i="8" l="1"/>
  <c r="AL335" i="8"/>
  <c r="S335" i="8"/>
  <c r="W335" i="8"/>
  <c r="AJ335" i="8" l="1"/>
  <c r="G335" i="8" l="1"/>
  <c r="O335" i="8" l="1"/>
  <c r="F336" i="8"/>
  <c r="H336" i="8" s="1"/>
  <c r="I335" i="8"/>
  <c r="N336" i="8" l="1"/>
  <c r="K335" i="8"/>
  <c r="J336" i="8" l="1"/>
  <c r="V335" i="8"/>
  <c r="U336" i="8" l="1"/>
  <c r="E335" i="8"/>
  <c r="T335" i="8" l="1"/>
  <c r="AM335" i="8" s="1"/>
  <c r="D336" i="8"/>
  <c r="R336" i="8" l="1"/>
  <c r="Z335" i="8"/>
  <c r="AL336" i="8" l="1"/>
  <c r="AK336" i="8"/>
  <c r="S336" i="8"/>
  <c r="W336" i="8"/>
  <c r="AJ336" i="8" l="1"/>
  <c r="G336" i="8" l="1"/>
  <c r="F337" i="8" l="1"/>
  <c r="H337" i="8" s="1"/>
  <c r="I336" i="8"/>
  <c r="O336" i="8"/>
  <c r="N337" i="8" l="1"/>
  <c r="K336" i="8"/>
  <c r="J337" i="8" l="1"/>
  <c r="V336" i="8"/>
  <c r="U337" i="8" l="1"/>
  <c r="E336" i="8"/>
  <c r="T336" i="8" l="1"/>
  <c r="AM336" i="8" s="1"/>
  <c r="D337" i="8"/>
  <c r="R337" i="8" l="1"/>
  <c r="Z336" i="8"/>
  <c r="AK337" i="8" l="1"/>
  <c r="AL337" i="8"/>
  <c r="S337" i="8"/>
  <c r="W337" i="8"/>
  <c r="AJ337" i="8" l="1"/>
  <c r="G337" i="8" l="1"/>
  <c r="F338" i="8" l="1"/>
  <c r="H338" i="8" s="1"/>
  <c r="I337" i="8"/>
  <c r="O337" i="8"/>
  <c r="N338" i="8" l="1"/>
  <c r="K337" i="8"/>
  <c r="J338" i="8" l="1"/>
  <c r="V337" i="8"/>
  <c r="U338" i="8" l="1"/>
  <c r="E337" i="8"/>
  <c r="T337" i="8" l="1"/>
  <c r="AM337" i="8" s="1"/>
  <c r="D338" i="8"/>
  <c r="R338" i="8" l="1"/>
  <c r="Z337" i="8"/>
  <c r="AL338" i="8" l="1"/>
  <c r="AK338" i="8"/>
  <c r="S338" i="8"/>
  <c r="W338" i="8"/>
  <c r="AJ338" i="8" l="1"/>
  <c r="G338" i="8" l="1"/>
  <c r="F339" i="8" l="1"/>
  <c r="H339" i="8" s="1"/>
  <c r="I338" i="8"/>
  <c r="O338" i="8"/>
  <c r="N339" i="8" l="1"/>
  <c r="K338" i="8"/>
  <c r="J339" i="8" l="1"/>
  <c r="V338" i="8"/>
  <c r="U339" i="8" l="1"/>
  <c r="E338" i="8"/>
  <c r="T338" i="8" l="1"/>
  <c r="AM338" i="8" s="1"/>
  <c r="D339" i="8"/>
  <c r="R339" i="8" l="1"/>
  <c r="Z338" i="8"/>
  <c r="AK339" i="8" l="1"/>
  <c r="AL339" i="8"/>
  <c r="S339" i="8"/>
  <c r="W339" i="8"/>
  <c r="AJ339" i="8" l="1"/>
  <c r="G339" i="8" l="1"/>
  <c r="F340" i="8" l="1"/>
  <c r="H340" i="8" s="1"/>
  <c r="I339" i="8"/>
  <c r="O339" i="8"/>
  <c r="N340" i="8" l="1"/>
  <c r="K339" i="8"/>
  <c r="J340" i="8" l="1"/>
  <c r="V339" i="8"/>
  <c r="U340" i="8" l="1"/>
  <c r="E339" i="8"/>
  <c r="T339" i="8" l="1"/>
  <c r="AM339" i="8" s="1"/>
  <c r="D340" i="8"/>
  <c r="R340" i="8" l="1"/>
  <c r="Z339" i="8"/>
  <c r="S340" i="8" l="1"/>
  <c r="AJ340" i="8" s="1"/>
  <c r="G340" i="8" s="1"/>
  <c r="AN340" i="8"/>
  <c r="AL340" i="8" s="1"/>
  <c r="W340" i="8"/>
  <c r="AK340" i="8" l="1"/>
  <c r="O340" i="8"/>
  <c r="AN341" i="8"/>
  <c r="F341" i="8"/>
  <c r="H341" i="8" s="1"/>
  <c r="I340" i="8"/>
  <c r="N341" i="8" l="1"/>
  <c r="AN342" i="8"/>
  <c r="K340" i="8"/>
  <c r="AN343" i="8" l="1"/>
  <c r="J341" i="8"/>
  <c r="V340" i="8"/>
  <c r="AN344" i="8" l="1"/>
  <c r="AB333" i="8"/>
  <c r="AB334" i="8" s="1"/>
  <c r="AB335" i="8" s="1"/>
  <c r="AB336" i="8" s="1"/>
  <c r="AB337" i="8" s="1"/>
  <c r="AB338" i="8" s="1"/>
  <c r="AB339" i="8" s="1"/>
  <c r="AB340" i="8" s="1"/>
  <c r="AB341" i="8" s="1"/>
  <c r="AB342" i="8" s="1"/>
  <c r="AB343" i="8" s="1"/>
  <c r="AB344" i="8" s="1"/>
  <c r="U341" i="8"/>
  <c r="E340" i="8"/>
  <c r="T340" i="8" l="1"/>
  <c r="AM340" i="8" s="1"/>
  <c r="D341" i="8"/>
  <c r="R341" i="8" l="1"/>
  <c r="Z340" i="8"/>
  <c r="AK341" i="8" l="1"/>
  <c r="AL341" i="8"/>
  <c r="S341" i="8"/>
  <c r="W341" i="8"/>
  <c r="AJ341" i="8" l="1"/>
  <c r="G341" i="8" l="1"/>
  <c r="O341" i="8" s="1"/>
  <c r="N342" i="8" l="1"/>
  <c r="K341" i="8"/>
  <c r="J342" i="8" s="1"/>
  <c r="F342" i="8"/>
  <c r="H342" i="8" s="1"/>
  <c r="I341" i="8"/>
  <c r="V341" i="8" l="1"/>
  <c r="U342" i="8" s="1"/>
  <c r="E341" i="8" l="1"/>
  <c r="T341" i="8" s="1"/>
  <c r="D342" i="8" l="1"/>
  <c r="R342" i="8"/>
  <c r="Z341" i="8"/>
  <c r="AM341" i="8"/>
  <c r="AL342" i="8" l="1"/>
  <c r="AK342" i="8"/>
  <c r="S342" i="8"/>
  <c r="W342" i="8"/>
  <c r="AJ342" i="8" l="1"/>
  <c r="G342" i="8" l="1"/>
  <c r="O342" i="8" l="1"/>
  <c r="F343" i="8"/>
  <c r="H343" i="8" s="1"/>
  <c r="I342" i="8"/>
  <c r="N343" i="8" l="1"/>
  <c r="K342" i="8"/>
  <c r="J343" i="8" l="1"/>
  <c r="V342" i="8"/>
  <c r="U343" i="8" l="1"/>
  <c r="E342" i="8"/>
  <c r="T342" i="8" l="1"/>
  <c r="AM342" i="8" s="1"/>
  <c r="D343" i="8"/>
  <c r="R343" i="8" l="1"/>
  <c r="Z342" i="8"/>
  <c r="AK343" i="8" l="1"/>
  <c r="AL343" i="8"/>
  <c r="S343" i="8"/>
  <c r="W343" i="8"/>
  <c r="AJ343" i="8" l="1"/>
  <c r="G343" i="8" l="1"/>
  <c r="O343" i="8" l="1"/>
  <c r="F344" i="8"/>
  <c r="H344" i="8" s="1"/>
  <c r="I343" i="8"/>
  <c r="N344" i="8" l="1"/>
  <c r="K343" i="8"/>
  <c r="J344" i="8" l="1"/>
  <c r="V343" i="8"/>
  <c r="U344" i="8" l="1"/>
  <c r="E343" i="8"/>
  <c r="T343" i="8" l="1"/>
  <c r="AM343" i="8" s="1"/>
  <c r="D344" i="8"/>
  <c r="R344" i="8" l="1"/>
  <c r="Z343" i="8"/>
  <c r="AL344" i="8" l="1"/>
  <c r="AK344" i="8"/>
  <c r="S344" i="8"/>
  <c r="W344" i="8"/>
  <c r="AJ344" i="8" l="1"/>
  <c r="G344" i="8" l="1"/>
  <c r="O344" i="8" l="1"/>
  <c r="F345" i="8"/>
  <c r="H345" i="8" s="1"/>
  <c r="I344" i="8"/>
  <c r="N345" i="8" l="1"/>
  <c r="K344" i="8"/>
  <c r="J345" i="8" l="1"/>
  <c r="V344" i="8"/>
  <c r="U345" i="8" l="1"/>
  <c r="E344" i="8"/>
  <c r="T344" i="8" l="1"/>
  <c r="AM344" i="8" s="1"/>
  <c r="D345" i="8"/>
  <c r="R345" i="8" l="1"/>
  <c r="Z344" i="8"/>
  <c r="AA345" i="8" s="1"/>
  <c r="AA346" i="8" s="1"/>
  <c r="AA347" i="8" s="1"/>
  <c r="AA348" i="8" s="1"/>
  <c r="AA349" i="8" s="1"/>
  <c r="AA350" i="8" s="1"/>
  <c r="AA351" i="8" s="1"/>
  <c r="AA352" i="8" s="1"/>
  <c r="AA353" i="8" s="1"/>
  <c r="AA354" i="8" s="1"/>
  <c r="AA355" i="8" s="1"/>
  <c r="AA356" i="8" s="1"/>
  <c r="AN345" i="8" l="1"/>
  <c r="AK345" i="8" s="1"/>
  <c r="S345" i="8"/>
  <c r="AJ345" i="8" s="1"/>
  <c r="G345" i="8" s="1"/>
  <c r="W345" i="8"/>
  <c r="AL345" i="8" l="1"/>
  <c r="O345" i="8"/>
  <c r="N346" i="8" s="1"/>
  <c r="F346" i="8"/>
  <c r="H346" i="8" s="1"/>
  <c r="I345" i="8"/>
  <c r="AN346" i="8"/>
  <c r="K345" i="8" l="1"/>
  <c r="J346" i="8" s="1"/>
  <c r="AN347" i="8"/>
  <c r="V345" i="8" l="1"/>
  <c r="U346" i="8" s="1"/>
  <c r="AN348" i="8"/>
  <c r="E345" i="8" l="1"/>
  <c r="T345" i="8" s="1"/>
  <c r="AM345" i="8" s="1"/>
  <c r="AN349" i="8"/>
  <c r="Z345" i="8" l="1"/>
  <c r="R346" i="8"/>
  <c r="S346" i="8" s="1"/>
  <c r="D346" i="8"/>
  <c r="W346" i="8" s="1"/>
  <c r="AN351" i="8"/>
  <c r="AN350" i="8"/>
  <c r="AK346" i="8" l="1"/>
  <c r="AL346" i="8"/>
  <c r="AJ346" i="8"/>
  <c r="G346" i="8" l="1"/>
  <c r="O346" i="8" l="1"/>
  <c r="F347" i="8"/>
  <c r="H347" i="8" s="1"/>
  <c r="I346" i="8"/>
  <c r="N347" i="8" l="1"/>
  <c r="K346" i="8"/>
  <c r="J347" i="8" l="1"/>
  <c r="V346" i="8"/>
  <c r="U347" i="8" l="1"/>
  <c r="E346" i="8"/>
  <c r="T346" i="8" l="1"/>
  <c r="AM346" i="8" s="1"/>
  <c r="D347" i="8"/>
  <c r="R347" i="8" l="1"/>
  <c r="Z346" i="8"/>
  <c r="AK347" i="8" l="1"/>
  <c r="AL347" i="8"/>
  <c r="S347" i="8"/>
  <c r="W347" i="8"/>
  <c r="AJ347" i="8" l="1"/>
  <c r="G347" i="8" l="1"/>
  <c r="O347" i="8" s="1"/>
  <c r="N348" i="8" l="1"/>
  <c r="K347" i="8"/>
  <c r="J348" i="8" s="1"/>
  <c r="F348" i="8"/>
  <c r="H348" i="8" s="1"/>
  <c r="I347" i="8"/>
  <c r="V347" i="8" l="1"/>
  <c r="E347" i="8" s="1"/>
  <c r="U348" i="8" l="1"/>
  <c r="T347" i="8"/>
  <c r="D348" i="8"/>
  <c r="R348" i="8" l="1"/>
  <c r="Z347" i="8"/>
  <c r="AM347" i="8"/>
  <c r="AK348" i="8" l="1"/>
  <c r="AL348" i="8"/>
  <c r="S348" i="8"/>
  <c r="W348" i="8"/>
  <c r="AJ348" i="8" l="1"/>
  <c r="G348" i="8" l="1"/>
  <c r="O348" i="8" s="1"/>
  <c r="N349" i="8" l="1"/>
  <c r="K348" i="8"/>
  <c r="J349" i="8" s="1"/>
  <c r="F349" i="8"/>
  <c r="H349" i="8" s="1"/>
  <c r="I348" i="8"/>
  <c r="V348" i="8" l="1"/>
  <c r="U349" i="8" s="1"/>
  <c r="E348" i="8" l="1"/>
  <c r="T348" i="8" s="1"/>
  <c r="D349" i="8" l="1"/>
  <c r="R349" i="8"/>
  <c r="Z348" i="8"/>
  <c r="AM348" i="8"/>
  <c r="AK349" i="8" l="1"/>
  <c r="AL349" i="8"/>
  <c r="W349" i="8"/>
  <c r="S349" i="8"/>
  <c r="AJ349" i="8" l="1"/>
  <c r="G349" i="8" l="1"/>
  <c r="O349" i="8" s="1"/>
  <c r="N350" i="8" l="1"/>
  <c r="F350" i="8"/>
  <c r="H350" i="8" s="1"/>
  <c r="I349" i="8"/>
  <c r="K349" i="8"/>
  <c r="J350" i="8" s="1"/>
  <c r="V349" i="8" l="1"/>
  <c r="U350" i="8" l="1"/>
  <c r="E349" i="8"/>
  <c r="T349" i="8" l="1"/>
  <c r="AM349" i="8" s="1"/>
  <c r="D350" i="8"/>
  <c r="R350" i="8" l="1"/>
  <c r="Z349" i="8"/>
  <c r="AL350" i="8" l="1"/>
  <c r="AK350" i="8"/>
  <c r="S350" i="8"/>
  <c r="W350" i="8"/>
  <c r="AJ350" i="8" l="1"/>
  <c r="G350" i="8" l="1"/>
  <c r="F351" i="8" l="1"/>
  <c r="H351" i="8" s="1"/>
  <c r="I350" i="8"/>
  <c r="O350" i="8"/>
  <c r="N351" i="8" l="1"/>
  <c r="K350" i="8"/>
  <c r="J351" i="8" l="1"/>
  <c r="V350" i="8"/>
  <c r="U351" i="8" l="1"/>
  <c r="E350" i="8"/>
  <c r="T350" i="8" l="1"/>
  <c r="AM350" i="8" s="1"/>
  <c r="D351" i="8"/>
  <c r="R351" i="8" l="1"/>
  <c r="Z350" i="8"/>
  <c r="AK351" i="8" l="1"/>
  <c r="AL351" i="8"/>
  <c r="S351" i="8"/>
  <c r="W351" i="8"/>
  <c r="AJ351" i="8" l="1"/>
  <c r="G351" i="8" l="1"/>
  <c r="F352" i="8" l="1"/>
  <c r="H352" i="8" s="1"/>
  <c r="I351" i="8"/>
  <c r="O351" i="8"/>
  <c r="N352" i="8" l="1"/>
  <c r="K351" i="8"/>
  <c r="J352" i="8" l="1"/>
  <c r="V351" i="8"/>
  <c r="U352" i="8" l="1"/>
  <c r="E351" i="8"/>
  <c r="T351" i="8" l="1"/>
  <c r="AM351" i="8" s="1"/>
  <c r="D352" i="8"/>
  <c r="R352" i="8" l="1"/>
  <c r="Z351" i="8"/>
  <c r="S352" i="8" l="1"/>
  <c r="AJ352" i="8" s="1"/>
  <c r="G352" i="8" s="1"/>
  <c r="AN352" i="8"/>
  <c r="AL352" i="8" s="1"/>
  <c r="W352" i="8"/>
  <c r="AK352" i="8" l="1"/>
  <c r="O352" i="8"/>
  <c r="F353" i="8"/>
  <c r="H353" i="8" s="1"/>
  <c r="I352" i="8"/>
  <c r="AN353" i="8"/>
  <c r="N353" i="8" l="1"/>
  <c r="K352" i="8"/>
  <c r="AN354" i="8"/>
  <c r="J353" i="8" l="1"/>
  <c r="V352" i="8"/>
  <c r="AN355" i="8"/>
  <c r="AN356" i="8" l="1"/>
  <c r="AB345" i="8"/>
  <c r="AB346" i="8" s="1"/>
  <c r="AB347" i="8" s="1"/>
  <c r="AB348" i="8" s="1"/>
  <c r="AB349" i="8" s="1"/>
  <c r="AB350" i="8" s="1"/>
  <c r="AB351" i="8" s="1"/>
  <c r="AB352" i="8" s="1"/>
  <c r="AB353" i="8" s="1"/>
  <c r="AB354" i="8" s="1"/>
  <c r="AB355" i="8" s="1"/>
  <c r="AB356" i="8" s="1"/>
  <c r="U353" i="8"/>
  <c r="E352" i="8"/>
  <c r="T352" i="8" l="1"/>
  <c r="AM352" i="8" s="1"/>
  <c r="D353" i="8"/>
  <c r="R353" i="8" l="1"/>
  <c r="Z352" i="8"/>
  <c r="W353" i="8" l="1"/>
  <c r="AK353" i="8"/>
  <c r="AL353" i="8"/>
  <c r="S353" i="8"/>
  <c r="AJ353" i="8" l="1"/>
  <c r="G353" i="8" l="1"/>
  <c r="F354" i="8" l="1"/>
  <c r="H354" i="8" s="1"/>
  <c r="I353" i="8"/>
  <c r="O353" i="8"/>
  <c r="N354" i="8" l="1"/>
  <c r="K353" i="8"/>
  <c r="J354" i="8" l="1"/>
  <c r="V353" i="8"/>
  <c r="U354" i="8" l="1"/>
  <c r="E353" i="8"/>
  <c r="T353" i="8" l="1"/>
  <c r="AM353" i="8" s="1"/>
  <c r="D354" i="8"/>
  <c r="R354" i="8" l="1"/>
  <c r="Z353" i="8"/>
  <c r="AK354" i="8" l="1"/>
  <c r="AL354" i="8"/>
  <c r="S354" i="8"/>
  <c r="W354" i="8"/>
  <c r="AJ354" i="8" l="1"/>
  <c r="G354" i="8" l="1"/>
  <c r="O354" i="8" l="1"/>
  <c r="F355" i="8"/>
  <c r="H355" i="8" s="1"/>
  <c r="I354" i="8"/>
  <c r="K354" i="8" l="1"/>
  <c r="N355" i="8"/>
  <c r="J355" i="8" l="1"/>
  <c r="V354" i="8"/>
  <c r="U355" i="8" l="1"/>
  <c r="E354" i="8"/>
  <c r="T354" i="8" l="1"/>
  <c r="AM354" i="8" s="1"/>
  <c r="D355" i="8"/>
  <c r="R355" i="8" l="1"/>
  <c r="Z354" i="8"/>
  <c r="AK355" i="8" l="1"/>
  <c r="AL355" i="8"/>
  <c r="S355" i="8"/>
  <c r="W355" i="8"/>
  <c r="AJ355" i="8" l="1"/>
  <c r="G355" i="8" l="1"/>
  <c r="O355" i="8" l="1"/>
  <c r="F356" i="8"/>
  <c r="H356" i="8" s="1"/>
  <c r="I355" i="8"/>
  <c r="K355" i="8" l="1"/>
  <c r="N356" i="8"/>
  <c r="J356" i="8" l="1"/>
  <c r="V355" i="8"/>
  <c r="U356" i="8" l="1"/>
  <c r="E355" i="8"/>
  <c r="T355" i="8" l="1"/>
  <c r="AM355" i="8" s="1"/>
  <c r="D356" i="8"/>
  <c r="R356" i="8" l="1"/>
  <c r="Z355" i="8"/>
  <c r="AK356" i="8" l="1"/>
  <c r="AL356" i="8"/>
  <c r="S356" i="8"/>
  <c r="AJ356" i="8" s="1"/>
  <c r="W356" i="8"/>
  <c r="G356" i="8" l="1"/>
  <c r="O356" i="8" l="1"/>
  <c r="F357" i="8"/>
  <c r="H357" i="8" s="1"/>
  <c r="I356" i="8"/>
  <c r="N357" i="8" l="1"/>
  <c r="K356" i="8"/>
  <c r="J357" i="8" l="1"/>
  <c r="V356" i="8"/>
  <c r="U357" i="8" l="1"/>
  <c r="E356" i="8"/>
  <c r="D357" i="8" l="1"/>
  <c r="T356" i="8"/>
  <c r="AM356" i="8" l="1"/>
  <c r="R357" i="8"/>
  <c r="Z356" i="8"/>
  <c r="AA357" i="8" s="1"/>
  <c r="AA358" i="8" s="1"/>
  <c r="AA359" i="8" s="1"/>
  <c r="AA360" i="8" s="1"/>
  <c r="AA361" i="8" s="1"/>
  <c r="AA362" i="8" s="1"/>
  <c r="AA363" i="8" s="1"/>
  <c r="AA364" i="8" s="1"/>
  <c r="AA365" i="8" s="1"/>
  <c r="AA366" i="8" s="1"/>
  <c r="AA367" i="8" s="1"/>
  <c r="AA368" i="8" s="1"/>
  <c r="S357" i="8" l="1"/>
  <c r="AJ357" i="8" s="1"/>
  <c r="G357" i="8" s="1"/>
  <c r="W357" i="8"/>
  <c r="AN357" i="8"/>
  <c r="AK357" i="8" s="1"/>
  <c r="AL357" i="8" l="1"/>
  <c r="O357" i="8"/>
  <c r="N358" i="8" s="1"/>
  <c r="AN358" i="8"/>
  <c r="I357" i="8"/>
  <c r="F358" i="8"/>
  <c r="H358" i="8" s="1"/>
  <c r="K357" i="8" l="1"/>
  <c r="J358" i="8" s="1"/>
  <c r="AN359" i="8"/>
  <c r="V357" i="8" l="1"/>
  <c r="U358" i="8" s="1"/>
  <c r="AN360" i="8"/>
  <c r="E357" i="8" l="1"/>
  <c r="T357" i="8" s="1"/>
  <c r="AN361" i="8"/>
  <c r="D358" i="8" l="1"/>
  <c r="AM357" i="8"/>
  <c r="R358" i="8"/>
  <c r="Z357" i="8"/>
  <c r="AN363" i="8"/>
  <c r="AN362" i="8"/>
  <c r="AK358" i="8" l="1"/>
  <c r="AL358" i="8"/>
  <c r="S358" i="8"/>
  <c r="W358" i="8"/>
  <c r="AJ358" i="8" l="1"/>
  <c r="G358" i="8" l="1"/>
  <c r="O358" i="8" s="1"/>
  <c r="N359" i="8" l="1"/>
  <c r="K358" i="8"/>
  <c r="J359" i="8" s="1"/>
  <c r="F359" i="8"/>
  <c r="H359" i="8" s="1"/>
  <c r="I358" i="8"/>
  <c r="V358" i="8" l="1"/>
  <c r="U359" i="8" l="1"/>
  <c r="E358" i="8"/>
  <c r="T358" i="8" l="1"/>
  <c r="AM358" i="8" s="1"/>
  <c r="D359" i="8"/>
  <c r="R359" i="8" l="1"/>
  <c r="Z358" i="8"/>
  <c r="AK359" i="8" l="1"/>
  <c r="AL359" i="8"/>
  <c r="S359" i="8"/>
  <c r="W359" i="8"/>
  <c r="AJ359" i="8" l="1"/>
  <c r="G359" i="8" l="1"/>
  <c r="F360" i="8" l="1"/>
  <c r="H360" i="8" s="1"/>
  <c r="I359" i="8"/>
  <c r="O359" i="8"/>
  <c r="N360" i="8" l="1"/>
  <c r="K359" i="8"/>
  <c r="J360" i="8" l="1"/>
  <c r="V359" i="8"/>
  <c r="U360" i="8" l="1"/>
  <c r="E359" i="8"/>
  <c r="T359" i="8" l="1"/>
  <c r="AM359" i="8" s="1"/>
  <c r="D360" i="8"/>
  <c r="R360" i="8" l="1"/>
  <c r="Z359" i="8"/>
  <c r="AK360" i="8" l="1"/>
  <c r="AL360" i="8"/>
  <c r="S360" i="8"/>
  <c r="W360" i="8"/>
  <c r="AJ360" i="8" l="1"/>
  <c r="G360" i="8" l="1"/>
  <c r="O360" i="8" s="1"/>
  <c r="N361" i="8" l="1"/>
  <c r="K360" i="8"/>
  <c r="J361" i="8" s="1"/>
  <c r="F361" i="8"/>
  <c r="H361" i="8" s="1"/>
  <c r="I360" i="8"/>
  <c r="V360" i="8" l="1"/>
  <c r="U361" i="8" s="1"/>
  <c r="E360" i="8" l="1"/>
  <c r="T360" i="8" s="1"/>
  <c r="D361" i="8" l="1"/>
  <c r="R361" i="8"/>
  <c r="Z360" i="8"/>
  <c r="AM360" i="8"/>
  <c r="AK361" i="8" l="1"/>
  <c r="AL361" i="8"/>
  <c r="S361" i="8"/>
  <c r="W361" i="8"/>
  <c r="AJ361" i="8" l="1"/>
  <c r="G361" i="8" l="1"/>
  <c r="O361" i="8" l="1"/>
  <c r="F362" i="8"/>
  <c r="H362" i="8" s="1"/>
  <c r="I361" i="8"/>
  <c r="N362" i="8" l="1"/>
  <c r="K361" i="8"/>
  <c r="J362" i="8" l="1"/>
  <c r="V361" i="8"/>
  <c r="U362" i="8" l="1"/>
  <c r="E361" i="8"/>
  <c r="T361" i="8" l="1"/>
  <c r="AM361" i="8" s="1"/>
  <c r="D362" i="8"/>
  <c r="R362" i="8" l="1"/>
  <c r="Z361" i="8"/>
  <c r="AK362" i="8" l="1"/>
  <c r="AL362" i="8"/>
  <c r="S362" i="8"/>
  <c r="W362" i="8"/>
  <c r="AJ362" i="8" l="1"/>
  <c r="G362" i="8" l="1"/>
  <c r="O362" i="8" l="1"/>
  <c r="F363" i="8"/>
  <c r="H363" i="8" s="1"/>
  <c r="I362" i="8"/>
  <c r="N363" i="8" l="1"/>
  <c r="K362" i="8"/>
  <c r="J363" i="8" l="1"/>
  <c r="V362" i="8"/>
  <c r="U363" i="8" l="1"/>
  <c r="E362" i="8"/>
  <c r="T362" i="8" l="1"/>
  <c r="AM362" i="8" s="1"/>
  <c r="D363" i="8"/>
  <c r="R363" i="8" l="1"/>
  <c r="Z362" i="8"/>
  <c r="AK363" i="8" l="1"/>
  <c r="AL363" i="8"/>
  <c r="S363" i="8"/>
  <c r="W363" i="8"/>
  <c r="AJ363" i="8" l="1"/>
  <c r="G363" i="8" l="1"/>
  <c r="F364" i="8" l="1"/>
  <c r="H364" i="8" s="1"/>
  <c r="I363" i="8"/>
  <c r="O363" i="8"/>
  <c r="N364" i="8" l="1"/>
  <c r="K363" i="8"/>
  <c r="J364" i="8" l="1"/>
  <c r="V363" i="8"/>
  <c r="U364" i="8" l="1"/>
  <c r="E363" i="8"/>
  <c r="T363" i="8" l="1"/>
  <c r="AM363" i="8" s="1"/>
  <c r="D364" i="8"/>
  <c r="R364" i="8" l="1"/>
  <c r="Z363" i="8"/>
  <c r="S364" i="8" l="1"/>
  <c r="AJ364" i="8" s="1"/>
  <c r="G364" i="8" s="1"/>
  <c r="O364" i="8" s="1"/>
  <c r="N365" i="8" s="1"/>
  <c r="AN364" i="8"/>
  <c r="AK364" i="8" s="1"/>
  <c r="W364" i="8"/>
  <c r="AL364" i="8" l="1"/>
  <c r="K364" i="8"/>
  <c r="J365" i="8" s="1"/>
  <c r="F365" i="8"/>
  <c r="H365" i="8" s="1"/>
  <c r="I364" i="8"/>
  <c r="AN365" i="8"/>
  <c r="V364" i="8" l="1"/>
  <c r="AN366" i="8"/>
  <c r="AN367" i="8" l="1"/>
  <c r="U365" i="8"/>
  <c r="E364" i="8"/>
  <c r="AN368" i="8" l="1"/>
  <c r="AB357" i="8"/>
  <c r="AB358" i="8" s="1"/>
  <c r="AB359" i="8" s="1"/>
  <c r="AB360" i="8" s="1"/>
  <c r="AB361" i="8" s="1"/>
  <c r="AB362" i="8" s="1"/>
  <c r="AB363" i="8" s="1"/>
  <c r="AB364" i="8" s="1"/>
  <c r="AB365" i="8" s="1"/>
  <c r="AB366" i="8" s="1"/>
  <c r="AB367" i="8" s="1"/>
  <c r="AB368" i="8" s="1"/>
  <c r="T364" i="8"/>
  <c r="AM364" i="8" s="1"/>
  <c r="D365" i="8"/>
  <c r="R365" i="8" l="1"/>
  <c r="W365" i="8" s="1"/>
  <c r="Z364" i="8"/>
  <c r="AK365" i="8" l="1"/>
  <c r="AL365" i="8"/>
  <c r="S365" i="8"/>
  <c r="AJ365" i="8" l="1"/>
  <c r="G365" i="8" l="1"/>
  <c r="O365" i="8" l="1"/>
  <c r="F366" i="8"/>
  <c r="H366" i="8" s="1"/>
  <c r="I365" i="8"/>
  <c r="K365" i="8" l="1"/>
  <c r="N366" i="8"/>
  <c r="J366" i="8" l="1"/>
  <c r="V365" i="8"/>
  <c r="U366" i="8" l="1"/>
  <c r="E365" i="8"/>
  <c r="T365" i="8" l="1"/>
  <c r="AM365" i="8" s="1"/>
  <c r="D366" i="8"/>
  <c r="R366" i="8" l="1"/>
  <c r="Z365" i="8"/>
  <c r="AK366" i="8" l="1"/>
  <c r="AL366" i="8"/>
  <c r="S366" i="8"/>
  <c r="W366" i="8"/>
  <c r="AJ366" i="8" l="1"/>
  <c r="G366" i="8" l="1"/>
  <c r="O366" i="8" l="1"/>
  <c r="F367" i="8"/>
  <c r="H367" i="8" s="1"/>
  <c r="I366" i="8"/>
  <c r="N367" i="8" l="1"/>
  <c r="K366" i="8"/>
  <c r="J367" i="8" l="1"/>
  <c r="V366" i="8"/>
  <c r="U367" i="8" l="1"/>
  <c r="E366" i="8"/>
  <c r="T366" i="8" l="1"/>
  <c r="AM366" i="8" s="1"/>
  <c r="D367" i="8"/>
  <c r="R367" i="8" l="1"/>
  <c r="Z366" i="8"/>
  <c r="AK367" i="8" l="1"/>
  <c r="AL367" i="8"/>
  <c r="S367" i="8"/>
  <c r="W367" i="8"/>
  <c r="AJ367" i="8" l="1"/>
  <c r="G367" i="8" l="1"/>
  <c r="O367" i="8" l="1"/>
  <c r="F368" i="8"/>
  <c r="H368" i="8" s="1"/>
  <c r="I367" i="8"/>
  <c r="N368" i="8" l="1"/>
  <c r="K367" i="8"/>
  <c r="J368" i="8" l="1"/>
  <c r="V367" i="8"/>
  <c r="U368" i="8" l="1"/>
  <c r="E367" i="8"/>
  <c r="T367" i="8" l="1"/>
  <c r="AM367" i="8" s="1"/>
  <c r="D368" i="8"/>
  <c r="R368" i="8" l="1"/>
  <c r="Z367" i="8"/>
  <c r="AK368" i="8" l="1"/>
  <c r="AL368" i="8"/>
  <c r="S368" i="8"/>
  <c r="W368" i="8"/>
  <c r="AJ368" i="8" l="1"/>
  <c r="G368" i="8" l="1"/>
  <c r="O368" i="8" l="1"/>
  <c r="F369" i="8"/>
  <c r="H369" i="8" s="1"/>
  <c r="I368" i="8"/>
  <c r="N369" i="8" l="1"/>
  <c r="K368" i="8"/>
  <c r="J369" i="8" l="1"/>
  <c r="V368" i="8"/>
  <c r="U369" i="8" l="1"/>
  <c r="E368" i="8"/>
  <c r="T368" i="8" l="1"/>
  <c r="AM368" i="8" s="1"/>
  <c r="D369" i="8"/>
  <c r="R369" i="8" l="1"/>
  <c r="Z368" i="8"/>
  <c r="AA369" i="8" s="1"/>
  <c r="AA370" i="8" s="1"/>
  <c r="AA371" i="8" s="1"/>
  <c r="AA372" i="8" s="1"/>
  <c r="AA373" i="8" s="1"/>
  <c r="AA374" i="8" s="1"/>
  <c r="AA375" i="8" s="1"/>
  <c r="AA376" i="8" s="1"/>
  <c r="AA377" i="8" s="1"/>
  <c r="AA378" i="8" s="1"/>
  <c r="AA379" i="8" s="1"/>
  <c r="AA380" i="8" s="1"/>
  <c r="AN369" i="8" l="1"/>
  <c r="AK369" i="8" s="1"/>
  <c r="S369" i="8"/>
  <c r="AJ369" i="8" s="1"/>
  <c r="G369" i="8" s="1"/>
  <c r="W369" i="8"/>
  <c r="AL369" i="8" l="1"/>
  <c r="O369" i="8"/>
  <c r="N370" i="8" s="1"/>
  <c r="F370" i="8"/>
  <c r="H370" i="8" s="1"/>
  <c r="I369" i="8"/>
  <c r="AN370" i="8"/>
  <c r="AN371" i="8" l="1"/>
  <c r="K369" i="8"/>
  <c r="AN372" i="8" l="1"/>
  <c r="J370" i="8"/>
  <c r="V369" i="8"/>
  <c r="U370" i="8" l="1"/>
  <c r="E369" i="8"/>
  <c r="AN373" i="8"/>
  <c r="AN374" i="8" l="1"/>
  <c r="AN375" i="8"/>
  <c r="T369" i="8"/>
  <c r="AM369" i="8" s="1"/>
  <c r="D370" i="8"/>
  <c r="R370" i="8" l="1"/>
  <c r="Z369" i="8"/>
  <c r="AK370" i="8" l="1"/>
  <c r="AL370" i="8"/>
  <c r="S370" i="8"/>
  <c r="W370" i="8"/>
  <c r="AJ370" i="8" l="1"/>
  <c r="G370" i="8" l="1"/>
  <c r="O370" i="8" l="1"/>
  <c r="F371" i="8"/>
  <c r="H371" i="8" s="1"/>
  <c r="I370" i="8"/>
  <c r="N371" i="8" l="1"/>
  <c r="K370" i="8"/>
  <c r="J371" i="8" l="1"/>
  <c r="V370" i="8"/>
  <c r="U371" i="8" l="1"/>
  <c r="E370" i="8"/>
  <c r="T370" i="8" l="1"/>
  <c r="AM370" i="8" s="1"/>
  <c r="D371" i="8"/>
  <c r="R371" i="8" l="1"/>
  <c r="Z370" i="8"/>
  <c r="AK371" i="8" l="1"/>
  <c r="AL371" i="8"/>
  <c r="S371" i="8"/>
  <c r="W371" i="8"/>
  <c r="AJ371" i="8" l="1"/>
  <c r="G371" i="8" l="1"/>
  <c r="O371" i="8" s="1"/>
  <c r="N372" i="8" l="1"/>
  <c r="F372" i="8"/>
  <c r="H372" i="8" s="1"/>
  <c r="I371" i="8"/>
  <c r="K371" i="8"/>
  <c r="J372" i="8" s="1"/>
  <c r="V371" i="8" l="1"/>
  <c r="U372" i="8" l="1"/>
  <c r="E371" i="8"/>
  <c r="T371" i="8" l="1"/>
  <c r="AM371" i="8" s="1"/>
  <c r="D372" i="8"/>
  <c r="R372" i="8" l="1"/>
  <c r="Z371" i="8"/>
  <c r="AK372" i="8" l="1"/>
  <c r="AL372" i="8"/>
  <c r="S372" i="8"/>
  <c r="W372" i="8"/>
  <c r="AJ372" i="8" l="1"/>
  <c r="G372" i="8" l="1"/>
  <c r="O372" i="8" s="1"/>
  <c r="K372" i="8" s="1"/>
  <c r="J373" i="8" s="1"/>
  <c r="N373" i="8" l="1"/>
  <c r="F373" i="8"/>
  <c r="H373" i="8" s="1"/>
  <c r="I372" i="8"/>
  <c r="V372" i="8"/>
  <c r="U373" i="8" l="1"/>
  <c r="E372" i="8"/>
  <c r="T372" i="8" l="1"/>
  <c r="AM372" i="8" s="1"/>
  <c r="D373" i="8"/>
  <c r="R373" i="8" l="1"/>
  <c r="Z372" i="8"/>
  <c r="AK373" i="8" l="1"/>
  <c r="AL373" i="8"/>
  <c r="S373" i="8"/>
  <c r="W373" i="8"/>
  <c r="AJ373" i="8" l="1"/>
  <c r="G373" i="8" l="1"/>
  <c r="F374" i="8" l="1"/>
  <c r="H374" i="8" s="1"/>
  <c r="I373" i="8"/>
  <c r="O373" i="8"/>
  <c r="N374" i="8" l="1"/>
  <c r="K373" i="8"/>
  <c r="J374" i="8" l="1"/>
  <c r="V373" i="8"/>
  <c r="U374" i="8" l="1"/>
  <c r="E373" i="8"/>
  <c r="T373" i="8" l="1"/>
  <c r="AM373" i="8" s="1"/>
  <c r="D374" i="8"/>
  <c r="R374" i="8" l="1"/>
  <c r="Z373" i="8"/>
  <c r="AK374" i="8" l="1"/>
  <c r="AL374" i="8"/>
  <c r="S374" i="8"/>
  <c r="W374" i="8"/>
  <c r="AJ374" i="8" l="1"/>
  <c r="G374" i="8" l="1"/>
  <c r="O374" i="8" s="1"/>
  <c r="N375" i="8" l="1"/>
  <c r="F375" i="8"/>
  <c r="H375" i="8" s="1"/>
  <c r="I374" i="8"/>
  <c r="K374" i="8"/>
  <c r="J375" i="8" s="1"/>
  <c r="V374" i="8" l="1"/>
  <c r="U375" i="8" l="1"/>
  <c r="E374" i="8"/>
  <c r="T374" i="8" l="1"/>
  <c r="AM374" i="8" s="1"/>
  <c r="D375" i="8"/>
  <c r="R375" i="8" l="1"/>
  <c r="Z374" i="8"/>
  <c r="AK375" i="8" l="1"/>
  <c r="AL375" i="8"/>
  <c r="S375" i="8"/>
  <c r="W375" i="8"/>
  <c r="AJ375" i="8" l="1"/>
  <c r="G375" i="8" l="1"/>
  <c r="O375" i="8" l="1"/>
  <c r="F376" i="8"/>
  <c r="H376" i="8" s="1"/>
  <c r="I375" i="8"/>
  <c r="N376" i="8" l="1"/>
  <c r="K375" i="8"/>
  <c r="J376" i="8" l="1"/>
  <c r="V375" i="8"/>
  <c r="U376" i="8" l="1"/>
  <c r="E375" i="8"/>
  <c r="T375" i="8" l="1"/>
  <c r="AM375" i="8" s="1"/>
  <c r="D376" i="8"/>
  <c r="R376" i="8" l="1"/>
  <c r="Z375" i="8"/>
  <c r="S376" i="8" l="1"/>
  <c r="AJ376" i="8" s="1"/>
  <c r="G376" i="8" s="1"/>
  <c r="AN376" i="8"/>
  <c r="AK376" i="8" s="1"/>
  <c r="W376" i="8"/>
  <c r="AL376" i="8" l="1"/>
  <c r="O376" i="8"/>
  <c r="F377" i="8"/>
  <c r="H377" i="8" s="1"/>
  <c r="I376" i="8"/>
  <c r="AN377" i="8"/>
  <c r="AN378" i="8" l="1"/>
  <c r="N377" i="8"/>
  <c r="K376" i="8"/>
  <c r="J377" i="8" l="1"/>
  <c r="V376" i="8"/>
  <c r="AN379" i="8"/>
  <c r="U377" i="8" l="1"/>
  <c r="E376" i="8"/>
  <c r="AN380" i="8"/>
  <c r="AB369" i="8"/>
  <c r="AB370" i="8" s="1"/>
  <c r="AB371" i="8" s="1"/>
  <c r="AB372" i="8" s="1"/>
  <c r="AB373" i="8" s="1"/>
  <c r="AB374" i="8" s="1"/>
  <c r="AB375" i="8" s="1"/>
  <c r="AB376" i="8" s="1"/>
  <c r="AB377" i="8" s="1"/>
  <c r="AB378" i="8" s="1"/>
  <c r="AB379" i="8" s="1"/>
  <c r="AB380" i="8" s="1"/>
  <c r="T376" i="8" l="1"/>
  <c r="AM376" i="8" s="1"/>
  <c r="D377" i="8"/>
  <c r="R377" i="8" l="1"/>
  <c r="Z376" i="8"/>
  <c r="AK377" i="8" l="1"/>
  <c r="AL377" i="8"/>
  <c r="S377" i="8"/>
  <c r="W377" i="8"/>
  <c r="AJ377" i="8" l="1"/>
  <c r="G377" i="8" l="1"/>
  <c r="F378" i="8" l="1"/>
  <c r="H378" i="8" s="1"/>
  <c r="I377" i="8"/>
  <c r="O377" i="8"/>
  <c r="N378" i="8" l="1"/>
  <c r="K377" i="8"/>
  <c r="J378" i="8" l="1"/>
  <c r="V377" i="8"/>
  <c r="U378" i="8" l="1"/>
  <c r="E377" i="8"/>
  <c r="T377" i="8" l="1"/>
  <c r="AM377" i="8" s="1"/>
  <c r="D378" i="8"/>
  <c r="R378" i="8" l="1"/>
  <c r="Z377" i="8"/>
  <c r="AK378" i="8" l="1"/>
  <c r="AL378" i="8"/>
  <c r="S378" i="8"/>
  <c r="W378" i="8"/>
  <c r="AJ378" i="8" l="1"/>
  <c r="G378" i="8" l="1"/>
  <c r="O378" i="8" s="1"/>
  <c r="N379" i="8" l="1"/>
  <c r="F379" i="8"/>
  <c r="H379" i="8" s="1"/>
  <c r="I378" i="8"/>
  <c r="K378" i="8"/>
  <c r="J379" i="8" s="1"/>
  <c r="V378" i="8" l="1"/>
  <c r="U379" i="8" l="1"/>
  <c r="E378" i="8"/>
  <c r="T378" i="8" l="1"/>
  <c r="AM378" i="8" s="1"/>
  <c r="D379" i="8"/>
  <c r="R379" i="8" l="1"/>
  <c r="Z378" i="8"/>
  <c r="AK379" i="8" l="1"/>
  <c r="AL379" i="8"/>
  <c r="S379" i="8"/>
  <c r="W379" i="8"/>
  <c r="AJ379" i="8" l="1"/>
  <c r="G379" i="8" l="1"/>
  <c r="O379" i="8" s="1"/>
  <c r="N380" i="8" l="1"/>
  <c r="K379" i="8"/>
  <c r="F380" i="8"/>
  <c r="H380" i="8" s="1"/>
  <c r="I379" i="8"/>
  <c r="J380" i="8" l="1"/>
  <c r="V379" i="8"/>
  <c r="U380" i="8" l="1"/>
  <c r="E379" i="8"/>
  <c r="T379" i="8" l="1"/>
  <c r="AM379" i="8" s="1"/>
  <c r="D380" i="8"/>
  <c r="R380" i="8" l="1"/>
  <c r="Z379" i="8"/>
  <c r="AK380" i="8" l="1"/>
  <c r="AL380" i="8"/>
  <c r="S380" i="8"/>
  <c r="W380" i="8"/>
  <c r="AJ380" i="8" l="1"/>
  <c r="G380" i="8" l="1"/>
  <c r="F381" i="8" l="1"/>
  <c r="H381" i="8" s="1"/>
  <c r="I380" i="8"/>
  <c r="O380" i="8"/>
  <c r="N381" i="8" l="1"/>
  <c r="K380" i="8"/>
  <c r="J381" i="8" l="1"/>
  <c r="V380" i="8"/>
  <c r="U381" i="8" l="1"/>
  <c r="E380" i="8"/>
  <c r="T380" i="8" l="1"/>
  <c r="AM380" i="8" s="1"/>
  <c r="D381" i="8"/>
  <c r="R381" i="8" l="1"/>
  <c r="Z380" i="8"/>
  <c r="AA381" i="8" s="1"/>
  <c r="AA382" i="8" s="1"/>
  <c r="AA383" i="8" s="1"/>
  <c r="AA384" i="8" s="1"/>
  <c r="AA385" i="8" s="1"/>
  <c r="AA386" i="8" s="1"/>
  <c r="AA387" i="8" s="1"/>
  <c r="AA388" i="8" s="1"/>
  <c r="AA389" i="8" s="1"/>
  <c r="AA390" i="8" s="1"/>
  <c r="AA391" i="8" s="1"/>
  <c r="AA392" i="8" s="1"/>
  <c r="AN381" i="8" l="1"/>
  <c r="AK381" i="8" s="1"/>
  <c r="S381" i="8"/>
  <c r="AJ381" i="8" s="1"/>
  <c r="G381" i="8" s="1"/>
  <c r="W381" i="8"/>
  <c r="AL381" i="8" l="1"/>
  <c r="F382" i="8"/>
  <c r="H382" i="8" s="1"/>
  <c r="I381" i="8"/>
  <c r="O381" i="8"/>
  <c r="N382" i="8" s="1"/>
  <c r="AN382" i="8"/>
  <c r="AN383" i="8" l="1"/>
  <c r="K381" i="8"/>
  <c r="AN384" i="8" l="1"/>
  <c r="J382" i="8"/>
  <c r="V381" i="8"/>
  <c r="AN385" i="8" l="1"/>
  <c r="U382" i="8"/>
  <c r="E381" i="8"/>
  <c r="AN386" i="8" l="1"/>
  <c r="T381" i="8"/>
  <c r="AM381" i="8" s="1"/>
  <c r="D382" i="8"/>
  <c r="R382" i="8" l="1"/>
  <c r="Z381" i="8"/>
  <c r="AN387" i="8"/>
  <c r="AK382" i="8" l="1"/>
  <c r="AL382" i="8"/>
  <c r="S382" i="8"/>
  <c r="W382" i="8"/>
  <c r="AJ382" i="8" l="1"/>
  <c r="G382" i="8" l="1"/>
  <c r="O382" i="8" s="1"/>
  <c r="N383" i="8" l="1"/>
  <c r="F383" i="8"/>
  <c r="H383" i="8" s="1"/>
  <c r="I382" i="8"/>
  <c r="K382" i="8"/>
  <c r="J383" i="8" s="1"/>
  <c r="V382" i="8" l="1"/>
  <c r="U383" i="8" l="1"/>
  <c r="E382" i="8"/>
  <c r="T382" i="8" l="1"/>
  <c r="AM382" i="8" s="1"/>
  <c r="D383" i="8"/>
  <c r="R383" i="8" l="1"/>
  <c r="Z382" i="8"/>
  <c r="AK383" i="8" l="1"/>
  <c r="AL383" i="8"/>
  <c r="S383" i="8"/>
  <c r="W383" i="8"/>
  <c r="AJ383" i="8" l="1"/>
  <c r="G383" i="8" l="1"/>
  <c r="O383" i="8" s="1"/>
  <c r="K383" i="8" s="1"/>
  <c r="J384" i="8" s="1"/>
  <c r="V383" i="8" l="1"/>
  <c r="N384" i="8"/>
  <c r="F384" i="8"/>
  <c r="H384" i="8" s="1"/>
  <c r="I383" i="8"/>
  <c r="U384" i="8" l="1"/>
  <c r="E383" i="8"/>
  <c r="T383" i="8" l="1"/>
  <c r="AM383" i="8" s="1"/>
  <c r="D384" i="8"/>
  <c r="R384" i="8" l="1"/>
  <c r="Z383" i="8"/>
  <c r="AK384" i="8" l="1"/>
  <c r="AL384" i="8"/>
  <c r="S384" i="8"/>
  <c r="W384" i="8"/>
  <c r="AJ384" i="8" l="1"/>
  <c r="G384" i="8" l="1"/>
  <c r="O384" i="8" l="1"/>
  <c r="F385" i="8"/>
  <c r="H385" i="8" s="1"/>
  <c r="I384" i="8"/>
  <c r="N385" i="8" l="1"/>
  <c r="K384" i="8"/>
  <c r="J385" i="8" l="1"/>
  <c r="V384" i="8"/>
  <c r="U385" i="8" l="1"/>
  <c r="E384" i="8"/>
  <c r="T384" i="8" l="1"/>
  <c r="AM384" i="8" s="1"/>
  <c r="D385" i="8"/>
  <c r="R385" i="8" l="1"/>
  <c r="Z384" i="8"/>
  <c r="AK385" i="8" l="1"/>
  <c r="AL385" i="8"/>
  <c r="S385" i="8"/>
  <c r="W385" i="8"/>
  <c r="AJ385" i="8" l="1"/>
  <c r="G385" i="8" l="1"/>
  <c r="O385" i="8" l="1"/>
  <c r="F386" i="8"/>
  <c r="H386" i="8" s="1"/>
  <c r="I385" i="8"/>
  <c r="N386" i="8" l="1"/>
  <c r="K385" i="8"/>
  <c r="J386" i="8" l="1"/>
  <c r="V385" i="8"/>
  <c r="U386" i="8" l="1"/>
  <c r="E385" i="8"/>
  <c r="T385" i="8" l="1"/>
  <c r="AM385" i="8" s="1"/>
  <c r="D386" i="8"/>
  <c r="R386" i="8" l="1"/>
  <c r="Z385" i="8"/>
  <c r="AK386" i="8" l="1"/>
  <c r="AL386" i="8"/>
  <c r="S386" i="8"/>
  <c r="W386" i="8"/>
  <c r="AJ386" i="8" l="1"/>
  <c r="G386" i="8" l="1"/>
  <c r="O386" i="8" s="1"/>
  <c r="N387" i="8" l="1"/>
  <c r="K386" i="8"/>
  <c r="J387" i="8" s="1"/>
  <c r="F387" i="8"/>
  <c r="H387" i="8" s="1"/>
  <c r="I386" i="8"/>
  <c r="V386" i="8" l="1"/>
  <c r="U387" i="8" s="1"/>
  <c r="E386" i="8" l="1"/>
  <c r="T386" i="8" s="1"/>
  <c r="D387" i="8" l="1"/>
  <c r="R387" i="8"/>
  <c r="Z386" i="8"/>
  <c r="AM386" i="8"/>
  <c r="AK387" i="8" l="1"/>
  <c r="AL387" i="8"/>
  <c r="W387" i="8"/>
  <c r="S387" i="8"/>
  <c r="AJ387" i="8" l="1"/>
  <c r="G387" i="8" l="1"/>
  <c r="F388" i="8" l="1"/>
  <c r="H388" i="8" s="1"/>
  <c r="I387" i="8"/>
  <c r="O387" i="8"/>
  <c r="N388" i="8" l="1"/>
  <c r="K387" i="8"/>
  <c r="J388" i="8" l="1"/>
  <c r="V387" i="8"/>
  <c r="U388" i="8" l="1"/>
  <c r="E387" i="8"/>
  <c r="T387" i="8" l="1"/>
  <c r="AM387" i="8" s="1"/>
  <c r="D388" i="8"/>
  <c r="R388" i="8" l="1"/>
  <c r="Z387" i="8"/>
  <c r="S388" i="8" l="1"/>
  <c r="AJ388" i="8" s="1"/>
  <c r="G388" i="8" s="1"/>
  <c r="AN388" i="8"/>
  <c r="AK388" i="8" s="1"/>
  <c r="W388" i="8"/>
  <c r="AL388" i="8" l="1"/>
  <c r="O388" i="8"/>
  <c r="F389" i="8"/>
  <c r="H389" i="8" s="1"/>
  <c r="I388" i="8"/>
  <c r="AN389" i="8"/>
  <c r="AN390" i="8" l="1"/>
  <c r="N389" i="8"/>
  <c r="K388" i="8"/>
  <c r="J389" i="8" l="1"/>
  <c r="V388" i="8"/>
  <c r="AN391" i="8"/>
  <c r="U389" i="8" l="1"/>
  <c r="E388" i="8"/>
  <c r="AN392" i="8"/>
  <c r="AB381" i="8"/>
  <c r="AB382" i="8" s="1"/>
  <c r="AB383" i="8" s="1"/>
  <c r="AB384" i="8" s="1"/>
  <c r="AB385" i="8" s="1"/>
  <c r="AB386" i="8" s="1"/>
  <c r="AB387" i="8" s="1"/>
  <c r="AB388" i="8" s="1"/>
  <c r="AB389" i="8" s="1"/>
  <c r="AB390" i="8" s="1"/>
  <c r="AB391" i="8" s="1"/>
  <c r="AB392" i="8" s="1"/>
  <c r="T388" i="8" l="1"/>
  <c r="AM388" i="8" s="1"/>
  <c r="D389" i="8"/>
  <c r="R389" i="8" l="1"/>
  <c r="Z388" i="8"/>
  <c r="AK389" i="8" l="1"/>
  <c r="AL389" i="8"/>
  <c r="S389" i="8"/>
  <c r="W389" i="8"/>
  <c r="AJ389" i="8" l="1"/>
  <c r="G389" i="8" l="1"/>
  <c r="O389" i="8" s="1"/>
  <c r="K389" i="8" s="1"/>
  <c r="J390" i="8" s="1"/>
  <c r="N390" i="8" l="1"/>
  <c r="F390" i="8"/>
  <c r="H390" i="8" s="1"/>
  <c r="I389" i="8"/>
  <c r="V389" i="8"/>
  <c r="U390" i="8" l="1"/>
  <c r="E389" i="8"/>
  <c r="T389" i="8" l="1"/>
  <c r="AM389" i="8" s="1"/>
  <c r="D390" i="8"/>
  <c r="R390" i="8" l="1"/>
  <c r="Z389" i="8"/>
  <c r="AK390" i="8" l="1"/>
  <c r="AL390" i="8"/>
  <c r="S390" i="8"/>
  <c r="W390" i="8"/>
  <c r="AJ390" i="8" l="1"/>
  <c r="G390" i="8" l="1"/>
  <c r="O390" i="8" s="1"/>
  <c r="N391" i="8" l="1"/>
  <c r="K390" i="8"/>
  <c r="J391" i="8" s="1"/>
  <c r="F391" i="8"/>
  <c r="H391" i="8" s="1"/>
  <c r="I390" i="8"/>
  <c r="V390" i="8" l="1"/>
  <c r="E390" i="8" s="1"/>
  <c r="U391" i="8" l="1"/>
  <c r="T390" i="8"/>
  <c r="D391" i="8"/>
  <c r="R391" i="8" l="1"/>
  <c r="AM390" i="8"/>
  <c r="Z390" i="8"/>
  <c r="AK391" i="8" l="1"/>
  <c r="AL391" i="8"/>
  <c r="S391" i="8"/>
  <c r="W391" i="8"/>
  <c r="AJ391" i="8" l="1"/>
  <c r="G391" i="8" l="1"/>
  <c r="O391" i="8" s="1"/>
  <c r="N392" i="8" l="1"/>
  <c r="K391" i="8"/>
  <c r="J392" i="8" s="1"/>
  <c r="F392" i="8"/>
  <c r="H392" i="8" s="1"/>
  <c r="I391" i="8"/>
  <c r="V391" i="8" l="1"/>
  <c r="U392" i="8" s="1"/>
  <c r="E391" i="8" l="1"/>
  <c r="T391" i="8" s="1"/>
  <c r="D392" i="8" l="1"/>
  <c r="R392" i="8"/>
  <c r="Z391" i="8"/>
  <c r="AM391" i="8"/>
  <c r="AK392" i="8" l="1"/>
  <c r="AL392" i="8"/>
  <c r="S392" i="8"/>
  <c r="W392" i="8"/>
  <c r="AJ392" i="8" l="1"/>
  <c r="G392" i="8" l="1"/>
  <c r="O392" i="8" s="1"/>
  <c r="N393" i="8" l="1"/>
  <c r="K392" i="8"/>
  <c r="J393" i="8" s="1"/>
  <c r="F393" i="8"/>
  <c r="H393" i="8" s="1"/>
  <c r="I392" i="8"/>
  <c r="V392" i="8" l="1"/>
  <c r="U393" i="8" s="1"/>
  <c r="E392" i="8" l="1"/>
  <c r="T392" i="8" s="1"/>
  <c r="D393" i="8" l="1"/>
  <c r="R393" i="8"/>
  <c r="Z392" i="8"/>
  <c r="AA393" i="8" s="1"/>
  <c r="AA394" i="8" s="1"/>
  <c r="AA395" i="8" s="1"/>
  <c r="AA396" i="8" s="1"/>
  <c r="AA397" i="8" s="1"/>
  <c r="AA398" i="8" s="1"/>
  <c r="AA399" i="8" s="1"/>
  <c r="AA400" i="8" s="1"/>
  <c r="AA401" i="8" s="1"/>
  <c r="AA402" i="8" s="1"/>
  <c r="AA403" i="8" s="1"/>
  <c r="AA404" i="8" s="1"/>
  <c r="AM392" i="8"/>
  <c r="W393" i="8" l="1"/>
  <c r="AN393" i="8"/>
  <c r="AK393" i="8" s="1"/>
  <c r="S393" i="8"/>
  <c r="AJ393" i="8" s="1"/>
  <c r="G393" i="8" s="1"/>
  <c r="AL393" i="8" l="1"/>
  <c r="O393" i="8"/>
  <c r="N394" i="8" s="1"/>
  <c r="F394" i="8"/>
  <c r="H394" i="8" s="1"/>
  <c r="I393" i="8"/>
  <c r="AN394" i="8"/>
  <c r="K393" i="8" l="1"/>
  <c r="J394" i="8" s="1"/>
  <c r="AN395" i="8"/>
  <c r="V393" i="8" l="1"/>
  <c r="U394" i="8" s="1"/>
  <c r="AN396" i="8"/>
  <c r="E393" i="8" l="1"/>
  <c r="T393" i="8" s="1"/>
  <c r="AM393" i="8" s="1"/>
  <c r="AN397" i="8"/>
  <c r="R394" i="8" l="1"/>
  <c r="S394" i="8" s="1"/>
  <c r="Z393" i="8"/>
  <c r="D394" i="8"/>
  <c r="AN399" i="8"/>
  <c r="AN398" i="8"/>
  <c r="W394" i="8" l="1"/>
  <c r="AK394" i="8"/>
  <c r="AL394" i="8"/>
  <c r="AJ394" i="8"/>
  <c r="G394" i="8" l="1"/>
  <c r="O394" i="8" s="1"/>
  <c r="K394" i="8" s="1"/>
  <c r="J395" i="8" l="1"/>
  <c r="V394" i="8"/>
  <c r="N395" i="8"/>
  <c r="I394" i="8"/>
  <c r="F395" i="8"/>
  <c r="H395" i="8" s="1"/>
  <c r="U395" i="8" l="1"/>
  <c r="E394" i="8"/>
  <c r="T394" i="8" l="1"/>
  <c r="AM394" i="8" s="1"/>
  <c r="D395" i="8"/>
  <c r="R395" i="8" l="1"/>
  <c r="Z394" i="8"/>
  <c r="AK395" i="8" l="1"/>
  <c r="AL395" i="8"/>
  <c r="S395" i="8"/>
  <c r="W395" i="8"/>
  <c r="AJ395" i="8" l="1"/>
  <c r="G395" i="8" l="1"/>
  <c r="O395" i="8" l="1"/>
  <c r="F396" i="8"/>
  <c r="H396" i="8" s="1"/>
  <c r="I395" i="8"/>
  <c r="N396" i="8" l="1"/>
  <c r="K395" i="8"/>
  <c r="J396" i="8" l="1"/>
  <c r="V395" i="8"/>
  <c r="E395" i="8" l="1"/>
  <c r="U396" i="8"/>
  <c r="T395" i="8" l="1"/>
  <c r="AM395" i="8" s="1"/>
  <c r="D396" i="8"/>
  <c r="R396" i="8" l="1"/>
  <c r="Z395" i="8"/>
  <c r="AK396" i="8" l="1"/>
  <c r="AL396" i="8"/>
  <c r="S396" i="8"/>
  <c r="W396" i="8"/>
  <c r="AJ396" i="8" l="1"/>
  <c r="G396" i="8" l="1"/>
  <c r="O396" i="8" s="1"/>
  <c r="N397" i="8" l="1"/>
  <c r="K396" i="8"/>
  <c r="J397" i="8" s="1"/>
  <c r="F397" i="8"/>
  <c r="H397" i="8" s="1"/>
  <c r="I396" i="8"/>
  <c r="V396" i="8" l="1"/>
  <c r="U397" i="8" s="1"/>
  <c r="E396" i="8" l="1"/>
  <c r="T396" i="8" s="1"/>
  <c r="D397" i="8" l="1"/>
  <c r="R397" i="8"/>
  <c r="AM396" i="8"/>
  <c r="Z396" i="8"/>
  <c r="AK397" i="8" l="1"/>
  <c r="AL397" i="8"/>
  <c r="S397" i="8"/>
  <c r="W397" i="8"/>
  <c r="AJ397" i="8" l="1"/>
  <c r="G397" i="8" l="1"/>
  <c r="O397" i="8" s="1"/>
  <c r="K397" i="8" l="1"/>
  <c r="J398" i="8" s="1"/>
  <c r="N398" i="8"/>
  <c r="F398" i="8"/>
  <c r="H398" i="8" s="1"/>
  <c r="I397" i="8"/>
  <c r="V397" i="8" l="1"/>
  <c r="U398" i="8" s="1"/>
  <c r="E397" i="8" l="1"/>
  <c r="T397" i="8" s="1"/>
  <c r="AM397" i="8" s="1"/>
  <c r="D398" i="8" l="1"/>
  <c r="R398" i="8"/>
  <c r="Z397" i="8"/>
  <c r="AK398" i="8" l="1"/>
  <c r="AL398" i="8"/>
  <c r="S398" i="8"/>
  <c r="W398" i="8"/>
  <c r="AJ398" i="8" l="1"/>
  <c r="G398" i="8" l="1"/>
  <c r="O398" i="8" s="1"/>
  <c r="N399" i="8" l="1"/>
  <c r="K398" i="8"/>
  <c r="J399" i="8" s="1"/>
  <c r="F399" i="8"/>
  <c r="H399" i="8" s="1"/>
  <c r="I398" i="8"/>
  <c r="V398" i="8" l="1"/>
  <c r="E398" i="8" s="1"/>
  <c r="U399" i="8" l="1"/>
  <c r="T398" i="8"/>
  <c r="AM398" i="8" s="1"/>
  <c r="D399" i="8"/>
  <c r="R399" i="8" l="1"/>
  <c r="Z398" i="8"/>
  <c r="AK399" i="8" l="1"/>
  <c r="AL399" i="8"/>
  <c r="S399" i="8"/>
  <c r="W399" i="8"/>
  <c r="AJ399" i="8" l="1"/>
  <c r="G399" i="8" l="1"/>
  <c r="F400" i="8" l="1"/>
  <c r="H400" i="8" s="1"/>
  <c r="I399" i="8"/>
  <c r="O399" i="8"/>
  <c r="N400" i="8" l="1"/>
  <c r="K399" i="8"/>
  <c r="J400" i="8" l="1"/>
  <c r="V399" i="8"/>
  <c r="U400" i="8" l="1"/>
  <c r="E399" i="8"/>
  <c r="T399" i="8" l="1"/>
  <c r="AM399" i="8" s="1"/>
  <c r="D400" i="8"/>
  <c r="R400" i="8" l="1"/>
  <c r="Z399" i="8"/>
  <c r="S400" i="8" l="1"/>
  <c r="AJ400" i="8" s="1"/>
  <c r="G400" i="8" s="1"/>
  <c r="O400" i="8" s="1"/>
  <c r="AN400" i="8"/>
  <c r="AK400" i="8" s="1"/>
  <c r="W400" i="8"/>
  <c r="AL400" i="8" l="1"/>
  <c r="N401" i="8"/>
  <c r="K400" i="8"/>
  <c r="J401" i="8" s="1"/>
  <c r="AN401" i="8"/>
  <c r="F401" i="8"/>
  <c r="H401" i="8" s="1"/>
  <c r="I400" i="8"/>
  <c r="V400" i="8" l="1"/>
  <c r="U401" i="8" s="1"/>
  <c r="AN402" i="8"/>
  <c r="E400" i="8" l="1"/>
  <c r="T400" i="8" s="1"/>
  <c r="AM400" i="8" s="1"/>
  <c r="AN403" i="8"/>
  <c r="D401" i="8" l="1"/>
  <c r="R401" i="8"/>
  <c r="Z400" i="8"/>
  <c r="AN404" i="8"/>
  <c r="AB393" i="8"/>
  <c r="AB394" i="8" s="1"/>
  <c r="AB395" i="8" s="1"/>
  <c r="AB396" i="8" s="1"/>
  <c r="AB397" i="8" s="1"/>
  <c r="AB398" i="8" s="1"/>
  <c r="AB399" i="8" s="1"/>
  <c r="AB400" i="8" s="1"/>
  <c r="AB401" i="8" s="1"/>
  <c r="AB402" i="8" s="1"/>
  <c r="AB403" i="8" s="1"/>
  <c r="AB404" i="8" s="1"/>
  <c r="AK401" i="8" l="1"/>
  <c r="AL401" i="8"/>
  <c r="S401" i="8"/>
  <c r="W401" i="8"/>
  <c r="AJ401" i="8" l="1"/>
  <c r="G401" i="8" l="1"/>
  <c r="O401" i="8" s="1"/>
  <c r="N402" i="8" l="1"/>
  <c r="K401" i="8"/>
  <c r="J402" i="8" s="1"/>
  <c r="F402" i="8"/>
  <c r="H402" i="8" s="1"/>
  <c r="I401" i="8"/>
  <c r="V401" i="8" l="1"/>
  <c r="U402" i="8" s="1"/>
  <c r="E401" i="8" l="1"/>
  <c r="T401" i="8" s="1"/>
  <c r="D402" i="8" l="1"/>
  <c r="R402" i="8"/>
  <c r="Z401" i="8"/>
  <c r="AM401" i="8"/>
  <c r="AK402" i="8" l="1"/>
  <c r="AL402" i="8"/>
  <c r="S402" i="8"/>
  <c r="W402" i="8"/>
  <c r="AJ402" i="8" l="1"/>
  <c r="G402" i="8" l="1"/>
  <c r="O402" i="8" l="1"/>
  <c r="F403" i="8"/>
  <c r="H403" i="8" s="1"/>
  <c r="I402" i="8"/>
  <c r="N403" i="8" l="1"/>
  <c r="K402" i="8"/>
  <c r="J403" i="8" l="1"/>
  <c r="V402" i="8"/>
  <c r="E402" i="8" l="1"/>
  <c r="U403" i="8"/>
  <c r="T402" i="8" l="1"/>
  <c r="AM402" i="8" s="1"/>
  <c r="D403" i="8"/>
  <c r="R403" i="8" l="1"/>
  <c r="Z402" i="8"/>
  <c r="AK403" i="8" l="1"/>
  <c r="AL403" i="8"/>
  <c r="S403" i="8"/>
  <c r="W403" i="8"/>
  <c r="AJ403" i="8" l="1"/>
  <c r="G403" i="8" l="1"/>
  <c r="O403" i="8" l="1"/>
  <c r="F404" i="8"/>
  <c r="H404" i="8" s="1"/>
  <c r="I403" i="8"/>
  <c r="N404" i="8" l="1"/>
  <c r="K403" i="8"/>
  <c r="J404" i="8" l="1"/>
  <c r="V403" i="8"/>
  <c r="U404" i="8" l="1"/>
  <c r="E403" i="8"/>
  <c r="T403" i="8" l="1"/>
  <c r="AM403" i="8" s="1"/>
  <c r="D404" i="8"/>
  <c r="R404" i="8" l="1"/>
  <c r="Z403" i="8"/>
  <c r="AK404" i="8" l="1"/>
  <c r="AL404" i="8"/>
  <c r="S404" i="8"/>
  <c r="W404" i="8"/>
  <c r="AJ404" i="8" l="1"/>
  <c r="G404" i="8" l="1"/>
  <c r="F405" i="8" l="1"/>
  <c r="H405" i="8" s="1"/>
  <c r="I404" i="8"/>
  <c r="O404" i="8"/>
  <c r="N405" i="8" l="1"/>
  <c r="K404" i="8"/>
  <c r="J405" i="8" l="1"/>
  <c r="V404" i="8"/>
  <c r="U405" i="8" l="1"/>
  <c r="E404" i="8"/>
  <c r="T404" i="8" l="1"/>
  <c r="AM404" i="8" s="1"/>
  <c r="D405" i="8"/>
  <c r="R405" i="8" l="1"/>
  <c r="Z404" i="8"/>
  <c r="AA405" i="8" s="1"/>
  <c r="AA406" i="8" s="1"/>
  <c r="AA407" i="8" s="1"/>
  <c r="AA408" i="8" s="1"/>
  <c r="AA409" i="8" s="1"/>
  <c r="AA410" i="8" s="1"/>
  <c r="AA411" i="8" s="1"/>
  <c r="AA412" i="8" s="1"/>
  <c r="AA413" i="8" s="1"/>
  <c r="AA414" i="8" s="1"/>
  <c r="AA415" i="8" s="1"/>
  <c r="AA416" i="8" s="1"/>
  <c r="S405" i="8" l="1"/>
  <c r="AJ405" i="8" s="1"/>
  <c r="W405" i="8"/>
  <c r="G405" i="8" l="1"/>
  <c r="F406" i="8" s="1"/>
  <c r="H406" i="8" s="1"/>
  <c r="AN405" i="8"/>
  <c r="AK405" i="8" l="1"/>
  <c r="AL405" i="8"/>
  <c r="O405" i="8"/>
  <c r="N406" i="8" s="1"/>
  <c r="I405" i="8"/>
  <c r="AN406" i="8"/>
  <c r="K405" i="8" l="1"/>
  <c r="J406" i="8" s="1"/>
  <c r="AN407" i="8"/>
  <c r="V405" i="8" l="1"/>
  <c r="U406" i="8" s="1"/>
  <c r="AN408" i="8"/>
  <c r="E405" i="8" l="1"/>
  <c r="T405" i="8" s="1"/>
  <c r="AM405" i="8" s="1"/>
  <c r="AN409" i="8"/>
  <c r="D406" i="8" l="1"/>
  <c r="R406" i="8"/>
  <c r="Z405" i="8"/>
  <c r="AN410" i="8"/>
  <c r="AN411" i="8"/>
  <c r="W406" i="8" l="1"/>
  <c r="AK406" i="8"/>
  <c r="AL406" i="8"/>
  <c r="S406" i="8"/>
  <c r="AJ406" i="8" l="1"/>
  <c r="G406" i="8" l="1"/>
  <c r="F407" i="8" l="1"/>
  <c r="H407" i="8" s="1"/>
  <c r="I406" i="8"/>
  <c r="O406" i="8"/>
  <c r="N407" i="8" l="1"/>
  <c r="K406" i="8"/>
  <c r="J407" i="8" l="1"/>
  <c r="V406" i="8"/>
  <c r="U407" i="8" l="1"/>
  <c r="E406" i="8"/>
  <c r="T406" i="8" l="1"/>
  <c r="AM406" i="8" s="1"/>
  <c r="D407" i="8"/>
  <c r="R407" i="8" l="1"/>
  <c r="Z406" i="8"/>
  <c r="AK407" i="8" l="1"/>
  <c r="AL407" i="8"/>
  <c r="S407" i="8"/>
  <c r="W407" i="8"/>
  <c r="AJ407" i="8" l="1"/>
  <c r="G407" i="8" l="1"/>
  <c r="O407" i="8" l="1"/>
  <c r="F408" i="8"/>
  <c r="H408" i="8" s="1"/>
  <c r="I407" i="8"/>
  <c r="N408" i="8" l="1"/>
  <c r="K407" i="8"/>
  <c r="J408" i="8" l="1"/>
  <c r="V407" i="8"/>
  <c r="U408" i="8" l="1"/>
  <c r="E407" i="8"/>
  <c r="T407" i="8" l="1"/>
  <c r="AM407" i="8" s="1"/>
  <c r="D408" i="8"/>
  <c r="R408" i="8" l="1"/>
  <c r="Z407" i="8"/>
  <c r="AK408" i="8" l="1"/>
  <c r="AL408" i="8"/>
  <c r="S408" i="8"/>
  <c r="W408" i="8"/>
  <c r="AJ408" i="8" l="1"/>
  <c r="G408" i="8" l="1"/>
  <c r="O408" i="8" s="1"/>
  <c r="N409" i="8" l="1"/>
  <c r="K408" i="8"/>
  <c r="J409" i="8" s="1"/>
  <c r="F409" i="8"/>
  <c r="H409" i="8" s="1"/>
  <c r="I408" i="8"/>
  <c r="V408" i="8" l="1"/>
  <c r="U409" i="8" s="1"/>
  <c r="E408" i="8" l="1"/>
  <c r="T408" i="8" s="1"/>
  <c r="D409" i="8" l="1"/>
  <c r="R409" i="8"/>
  <c r="AM408" i="8"/>
  <c r="Z408" i="8"/>
  <c r="AK409" i="8" l="1"/>
  <c r="AL409" i="8"/>
  <c r="S409" i="8"/>
  <c r="W409" i="8"/>
  <c r="AJ409" i="8" l="1"/>
  <c r="G409" i="8" l="1"/>
  <c r="O409" i="8" l="1"/>
  <c r="F410" i="8"/>
  <c r="H410" i="8" s="1"/>
  <c r="I409" i="8"/>
  <c r="N410" i="8" l="1"/>
  <c r="K409" i="8"/>
  <c r="J410" i="8" l="1"/>
  <c r="V409" i="8"/>
  <c r="U410" i="8" l="1"/>
  <c r="E409" i="8"/>
  <c r="T409" i="8" l="1"/>
  <c r="AM409" i="8" s="1"/>
  <c r="D410" i="8"/>
  <c r="R410" i="8" l="1"/>
  <c r="Z409" i="8"/>
  <c r="AK410" i="8" l="1"/>
  <c r="AL410" i="8"/>
  <c r="S410" i="8"/>
  <c r="W410" i="8"/>
  <c r="AJ410" i="8" l="1"/>
  <c r="G410" i="8" l="1"/>
  <c r="F411" i="8" l="1"/>
  <c r="H411" i="8" s="1"/>
  <c r="I410" i="8"/>
  <c r="O410" i="8"/>
  <c r="N411" i="8" l="1"/>
  <c r="K410" i="8"/>
  <c r="J411" i="8" l="1"/>
  <c r="V410" i="8"/>
  <c r="U411" i="8" l="1"/>
  <c r="E410" i="8"/>
  <c r="T410" i="8" l="1"/>
  <c r="AM410" i="8" s="1"/>
  <c r="D411" i="8"/>
  <c r="R411" i="8" l="1"/>
  <c r="Z410" i="8"/>
  <c r="AK411" i="8" l="1"/>
  <c r="AL411" i="8"/>
  <c r="S411" i="8"/>
  <c r="W411" i="8"/>
  <c r="AJ411" i="8" l="1"/>
  <c r="G411" i="8" l="1"/>
  <c r="F412" i="8" l="1"/>
  <c r="H412" i="8" s="1"/>
  <c r="I411" i="8"/>
  <c r="O411" i="8"/>
  <c r="N412" i="8" l="1"/>
  <c r="K411" i="8"/>
  <c r="J412" i="8" l="1"/>
  <c r="V411" i="8"/>
  <c r="U412" i="8" l="1"/>
  <c r="E411" i="8"/>
  <c r="T411" i="8" l="1"/>
  <c r="AM411" i="8" s="1"/>
  <c r="D412" i="8"/>
  <c r="R412" i="8" l="1"/>
  <c r="Z411" i="8"/>
  <c r="S412" i="8" l="1"/>
  <c r="AJ412" i="8" s="1"/>
  <c r="G412" i="8" s="1"/>
  <c r="O412" i="8" s="1"/>
  <c r="N413" i="8" s="1"/>
  <c r="AN412" i="8"/>
  <c r="AK412" i="8" s="1"/>
  <c r="W412" i="8"/>
  <c r="AL412" i="8" l="1"/>
  <c r="K412" i="8"/>
  <c r="J413" i="8" s="1"/>
  <c r="F413" i="8"/>
  <c r="H413" i="8" s="1"/>
  <c r="I412" i="8"/>
  <c r="AN413" i="8"/>
  <c r="V412" i="8" l="1"/>
  <c r="E412" i="8" s="1"/>
  <c r="AN414" i="8"/>
  <c r="U413" i="8" l="1"/>
  <c r="T412" i="8"/>
  <c r="AM412" i="8" s="1"/>
  <c r="D413" i="8"/>
  <c r="AN415" i="8"/>
  <c r="AN416" i="8" l="1"/>
  <c r="AB405" i="8"/>
  <c r="AB406" i="8" s="1"/>
  <c r="AB407" i="8" s="1"/>
  <c r="AB408" i="8" s="1"/>
  <c r="AB409" i="8" s="1"/>
  <c r="AB410" i="8" s="1"/>
  <c r="AB411" i="8" s="1"/>
  <c r="AB412" i="8" s="1"/>
  <c r="AB413" i="8" s="1"/>
  <c r="AB414" i="8" s="1"/>
  <c r="AB415" i="8" s="1"/>
  <c r="AB416" i="8" s="1"/>
  <c r="R413" i="8"/>
  <c r="Z412" i="8"/>
  <c r="W413" i="8" l="1"/>
  <c r="AK413" i="8"/>
  <c r="AL413" i="8"/>
  <c r="S413" i="8"/>
  <c r="AJ413" i="8" l="1"/>
  <c r="G413" i="8" l="1"/>
  <c r="O413" i="8" l="1"/>
  <c r="F414" i="8"/>
  <c r="H414" i="8" s="1"/>
  <c r="I413" i="8"/>
  <c r="N414" i="8" l="1"/>
  <c r="K413" i="8"/>
  <c r="J414" i="8" l="1"/>
  <c r="V413" i="8"/>
  <c r="U414" i="8" l="1"/>
  <c r="E413" i="8"/>
  <c r="T413" i="8" l="1"/>
  <c r="AM413" i="8" s="1"/>
  <c r="D414" i="8"/>
  <c r="R414" i="8" l="1"/>
  <c r="Z413" i="8"/>
  <c r="AK414" i="8" l="1"/>
  <c r="AL414" i="8"/>
  <c r="S414" i="8"/>
  <c r="W414" i="8"/>
  <c r="AJ414" i="8" l="1"/>
  <c r="G414" i="8" l="1"/>
  <c r="O414" i="8" s="1"/>
  <c r="N415" i="8" l="1"/>
  <c r="K414" i="8"/>
  <c r="J415" i="8" s="1"/>
  <c r="F415" i="8"/>
  <c r="H415" i="8" s="1"/>
  <c r="I414" i="8"/>
  <c r="V414" i="8" l="1"/>
  <c r="U415" i="8" s="1"/>
  <c r="E414" i="8" l="1"/>
  <c r="T414" i="8" s="1"/>
  <c r="D415" i="8" l="1"/>
  <c r="AM414" i="8"/>
  <c r="R415" i="8"/>
  <c r="Z414" i="8"/>
  <c r="AK415" i="8" l="1"/>
  <c r="AL415" i="8"/>
  <c r="S415" i="8"/>
  <c r="W415" i="8"/>
  <c r="AJ415" i="8" l="1"/>
  <c r="G415" i="8" l="1"/>
  <c r="O415" i="8" s="1"/>
  <c r="N416" i="8" l="1"/>
  <c r="K415" i="8"/>
  <c r="J416" i="8" s="1"/>
  <c r="F416" i="8"/>
  <c r="H416" i="8" s="1"/>
  <c r="I415" i="8"/>
  <c r="V415" i="8" l="1"/>
  <c r="U416" i="8" s="1"/>
  <c r="E415" i="8" l="1"/>
  <c r="T415" i="8" s="1"/>
  <c r="D416" i="8" l="1"/>
  <c r="R416" i="8"/>
  <c r="Z415" i="8"/>
  <c r="AM415" i="8"/>
  <c r="AK416" i="8" l="1"/>
  <c r="AL416" i="8"/>
  <c r="S416" i="8"/>
  <c r="W416" i="8"/>
  <c r="AJ416" i="8" l="1"/>
  <c r="G416" i="8" l="1"/>
  <c r="O416" i="8" l="1"/>
  <c r="F417" i="8"/>
  <c r="H417" i="8" s="1"/>
  <c r="I416" i="8"/>
  <c r="N417" i="8" l="1"/>
  <c r="K416" i="8"/>
  <c r="J417" i="8" l="1"/>
  <c r="V416" i="8"/>
  <c r="U417" i="8" l="1"/>
  <c r="E416" i="8"/>
  <c r="T416" i="8" l="1"/>
  <c r="AM416" i="8" s="1"/>
  <c r="D417" i="8"/>
  <c r="R417" i="8" l="1"/>
  <c r="Z416" i="8"/>
  <c r="AA417" i="8" s="1"/>
  <c r="AA418" i="8" s="1"/>
  <c r="AA419" i="8" s="1"/>
  <c r="AA420" i="8" s="1"/>
  <c r="AA421" i="8" s="1"/>
  <c r="AA422" i="8" s="1"/>
  <c r="AA423" i="8" s="1"/>
  <c r="AA424" i="8" s="1"/>
  <c r="AA425" i="8" s="1"/>
  <c r="AA426" i="8" s="1"/>
  <c r="AA427" i="8" s="1"/>
  <c r="AA428" i="8" s="1"/>
  <c r="S417" i="8" l="1"/>
  <c r="AJ417" i="8" s="1"/>
  <c r="W417" i="8"/>
  <c r="G417" i="8" l="1"/>
  <c r="F418" i="8" s="1"/>
  <c r="H418" i="8" s="1"/>
  <c r="AN417" i="8"/>
  <c r="AK417" i="8" l="1"/>
  <c r="AL417" i="8"/>
  <c r="O417" i="8"/>
  <c r="N418" i="8" s="1"/>
  <c r="I417" i="8"/>
  <c r="AN418" i="8"/>
  <c r="K417" i="8" l="1"/>
  <c r="J418" i="8" s="1"/>
  <c r="AN419" i="8"/>
  <c r="V417" i="8" l="1"/>
  <c r="U418" i="8" s="1"/>
  <c r="AN420" i="8"/>
  <c r="E417" i="8" l="1"/>
  <c r="T417" i="8" s="1"/>
  <c r="AM417" i="8" s="1"/>
  <c r="AN421" i="8"/>
  <c r="D418" i="8" l="1"/>
  <c r="AN422" i="8"/>
  <c r="R418" i="8"/>
  <c r="Z417" i="8"/>
  <c r="AK418" i="8" l="1"/>
  <c r="AL418" i="8"/>
  <c r="S418" i="8"/>
  <c r="AN423" i="8"/>
  <c r="W418" i="8"/>
  <c r="AJ418" i="8" l="1"/>
  <c r="G418" i="8" l="1"/>
  <c r="O418" i="8" s="1"/>
  <c r="N419" i="8" l="1"/>
  <c r="K418" i="8"/>
  <c r="J419" i="8" s="1"/>
  <c r="F419" i="8"/>
  <c r="H419" i="8" s="1"/>
  <c r="I418" i="8"/>
  <c r="V418" i="8" l="1"/>
  <c r="U419" i="8" l="1"/>
  <c r="E418" i="8"/>
  <c r="T418" i="8" l="1"/>
  <c r="AM418" i="8" s="1"/>
  <c r="D419" i="8"/>
  <c r="R419" i="8" l="1"/>
  <c r="Z418" i="8"/>
  <c r="AK419" i="8" l="1"/>
  <c r="AL419" i="8"/>
  <c r="S419" i="8"/>
  <c r="W419" i="8"/>
  <c r="AJ419" i="8" l="1"/>
  <c r="G419" i="8" l="1"/>
  <c r="F420" i="8" l="1"/>
  <c r="H420" i="8" s="1"/>
  <c r="I419" i="8"/>
  <c r="O419" i="8"/>
  <c r="N420" i="8" l="1"/>
  <c r="K419" i="8"/>
  <c r="J420" i="8" l="1"/>
  <c r="V419" i="8"/>
  <c r="U420" i="8" l="1"/>
  <c r="E419" i="8"/>
  <c r="T419" i="8" l="1"/>
  <c r="AM419" i="8" s="1"/>
  <c r="D420" i="8"/>
  <c r="R420" i="8" l="1"/>
  <c r="Z419" i="8"/>
  <c r="AK420" i="8" l="1"/>
  <c r="AL420" i="8"/>
  <c r="S420" i="8"/>
  <c r="W420" i="8"/>
  <c r="AJ420" i="8" l="1"/>
  <c r="G420" i="8" l="1"/>
  <c r="O420" i="8" l="1"/>
  <c r="F421" i="8"/>
  <c r="H421" i="8" s="1"/>
  <c r="I420" i="8"/>
  <c r="N421" i="8" l="1"/>
  <c r="K420" i="8"/>
  <c r="J421" i="8" l="1"/>
  <c r="V420" i="8"/>
  <c r="U421" i="8" l="1"/>
  <c r="E420" i="8"/>
  <c r="T420" i="8" l="1"/>
  <c r="AM420" i="8" s="1"/>
  <c r="D421" i="8"/>
  <c r="R421" i="8" l="1"/>
  <c r="Z420" i="8"/>
  <c r="AK421" i="8" l="1"/>
  <c r="AL421" i="8"/>
  <c r="S421" i="8"/>
  <c r="W421" i="8"/>
  <c r="AJ421" i="8" l="1"/>
  <c r="G421" i="8" l="1"/>
  <c r="F422" i="8" l="1"/>
  <c r="H422" i="8" s="1"/>
  <c r="I421" i="8"/>
  <c r="O421" i="8"/>
  <c r="N422" i="8" l="1"/>
  <c r="K421" i="8"/>
  <c r="J422" i="8" l="1"/>
  <c r="V421" i="8"/>
  <c r="U422" i="8" l="1"/>
  <c r="E421" i="8"/>
  <c r="T421" i="8" l="1"/>
  <c r="AM421" i="8" s="1"/>
  <c r="D422" i="8"/>
  <c r="R422" i="8" l="1"/>
  <c r="Z421" i="8"/>
  <c r="AK422" i="8" l="1"/>
  <c r="AL422" i="8"/>
  <c r="S422" i="8"/>
  <c r="W422" i="8"/>
  <c r="AJ422" i="8" l="1"/>
  <c r="G422" i="8" l="1"/>
  <c r="O422" i="8" l="1"/>
  <c r="F423" i="8"/>
  <c r="H423" i="8" s="1"/>
  <c r="I422" i="8"/>
  <c r="N423" i="8" l="1"/>
  <c r="K422" i="8"/>
  <c r="J423" i="8" l="1"/>
  <c r="V422" i="8"/>
  <c r="U423" i="8" l="1"/>
  <c r="E422" i="8"/>
  <c r="T422" i="8" l="1"/>
  <c r="AM422" i="8" s="1"/>
  <c r="D423" i="8"/>
  <c r="R423" i="8" l="1"/>
  <c r="Z422" i="8"/>
  <c r="AK423" i="8" l="1"/>
  <c r="AL423" i="8"/>
  <c r="S423" i="8"/>
  <c r="W423" i="8"/>
  <c r="AJ423" i="8" l="1"/>
  <c r="G423" i="8" l="1"/>
  <c r="F424" i="8" l="1"/>
  <c r="H424" i="8" s="1"/>
  <c r="I423" i="8"/>
  <c r="O423" i="8"/>
  <c r="N424" i="8" l="1"/>
  <c r="K423" i="8"/>
  <c r="J424" i="8" l="1"/>
  <c r="V423" i="8"/>
  <c r="U424" i="8" l="1"/>
  <c r="E423" i="8"/>
  <c r="T423" i="8" l="1"/>
  <c r="AM423" i="8" s="1"/>
  <c r="D424" i="8"/>
  <c r="R424" i="8" l="1"/>
  <c r="Z423" i="8"/>
  <c r="S424" i="8" l="1"/>
  <c r="AJ424" i="8" s="1"/>
  <c r="G424" i="8" s="1"/>
  <c r="AN424" i="8"/>
  <c r="AK424" i="8" s="1"/>
  <c r="W424" i="8"/>
  <c r="AL424" i="8" l="1"/>
  <c r="O424" i="8"/>
  <c r="N425" i="8" s="1"/>
  <c r="F425" i="8"/>
  <c r="H425" i="8" s="1"/>
  <c r="I424" i="8"/>
  <c r="AN425" i="8"/>
  <c r="K424" i="8" l="1"/>
  <c r="J425" i="8" s="1"/>
  <c r="AN426" i="8"/>
  <c r="V424" i="8" l="1"/>
  <c r="E424" i="8" s="1"/>
  <c r="AN427" i="8"/>
  <c r="U425" i="8" l="1"/>
  <c r="AN428" i="8"/>
  <c r="AB417" i="8"/>
  <c r="AB418" i="8" s="1"/>
  <c r="AB419" i="8" s="1"/>
  <c r="AB420" i="8" s="1"/>
  <c r="AB421" i="8" s="1"/>
  <c r="AB422" i="8" s="1"/>
  <c r="AB423" i="8" s="1"/>
  <c r="AB424" i="8" s="1"/>
  <c r="AB425" i="8" s="1"/>
  <c r="AB426" i="8" s="1"/>
  <c r="AB427" i="8" s="1"/>
  <c r="AB428" i="8" s="1"/>
  <c r="T424" i="8"/>
  <c r="D425" i="8"/>
  <c r="R425" i="8" l="1"/>
  <c r="Z424" i="8"/>
  <c r="AM424" i="8"/>
  <c r="AK425" i="8" l="1"/>
  <c r="AL425" i="8"/>
  <c r="S425" i="8"/>
  <c r="W425" i="8"/>
  <c r="AJ425" i="8" l="1"/>
  <c r="G425" i="8" l="1"/>
  <c r="F426" i="8" l="1"/>
  <c r="H426" i="8" s="1"/>
  <c r="I425" i="8"/>
  <c r="O425" i="8"/>
  <c r="N426" i="8" l="1"/>
  <c r="K425" i="8"/>
  <c r="J426" i="8" l="1"/>
  <c r="V425" i="8"/>
  <c r="U426" i="8" l="1"/>
  <c r="E425" i="8"/>
  <c r="T425" i="8" l="1"/>
  <c r="AM425" i="8" s="1"/>
  <c r="D426" i="8"/>
  <c r="R426" i="8" l="1"/>
  <c r="Z425" i="8"/>
  <c r="AK426" i="8" l="1"/>
  <c r="AL426" i="8"/>
  <c r="S426" i="8"/>
  <c r="W426" i="8"/>
  <c r="AJ426" i="8" l="1"/>
  <c r="G426" i="8" l="1"/>
  <c r="O426" i="8" l="1"/>
  <c r="F427" i="8"/>
  <c r="H427" i="8" s="1"/>
  <c r="I426" i="8"/>
  <c r="N427" i="8" l="1"/>
  <c r="K426" i="8"/>
  <c r="J427" i="8" l="1"/>
  <c r="V426" i="8"/>
  <c r="U427" i="8" l="1"/>
  <c r="E426" i="8"/>
  <c r="T426" i="8" l="1"/>
  <c r="AM426" i="8" s="1"/>
  <c r="D427" i="8"/>
  <c r="R427" i="8" l="1"/>
  <c r="Z426" i="8"/>
  <c r="AK427" i="8" l="1"/>
  <c r="AL427" i="8"/>
  <c r="S427" i="8"/>
  <c r="W427" i="8"/>
  <c r="AJ427" i="8" l="1"/>
  <c r="G427" i="8" l="1"/>
  <c r="F428" i="8" l="1"/>
  <c r="H428" i="8" s="1"/>
  <c r="I427" i="8"/>
  <c r="O427" i="8"/>
  <c r="N428" i="8" l="1"/>
  <c r="K427" i="8"/>
  <c r="J428" i="8" l="1"/>
  <c r="V427" i="8"/>
  <c r="U428" i="8" l="1"/>
  <c r="E427" i="8"/>
  <c r="T427" i="8" l="1"/>
  <c r="AM427" i="8" s="1"/>
  <c r="D428" i="8"/>
  <c r="R428" i="8" l="1"/>
  <c r="Z427" i="8"/>
  <c r="AK428" i="8" l="1"/>
  <c r="AL428" i="8"/>
  <c r="S428" i="8"/>
  <c r="W428" i="8"/>
  <c r="AJ428" i="8" l="1"/>
  <c r="G428" i="8" l="1"/>
  <c r="F429" i="8" l="1"/>
  <c r="H429" i="8" s="1"/>
  <c r="I428" i="8"/>
  <c r="O428" i="8"/>
  <c r="N429" i="8" l="1"/>
  <c r="K428" i="8"/>
  <c r="J429" i="8" l="1"/>
  <c r="V428" i="8"/>
  <c r="U429" i="8" l="1"/>
  <c r="E428" i="8"/>
  <c r="T428" i="8" l="1"/>
  <c r="AM428" i="8" s="1"/>
  <c r="D429" i="8"/>
  <c r="R429" i="8" l="1"/>
  <c r="Z428" i="8"/>
  <c r="AA429" i="8" s="1"/>
  <c r="AA430" i="8" s="1"/>
  <c r="AA431" i="8" s="1"/>
  <c r="AA432" i="8" s="1"/>
  <c r="AA433" i="8" s="1"/>
  <c r="AA434" i="8" s="1"/>
  <c r="AA435" i="8" s="1"/>
  <c r="AA436" i="8" s="1"/>
  <c r="AA437" i="8" s="1"/>
  <c r="AA438" i="8" s="1"/>
  <c r="AA439" i="8" s="1"/>
  <c r="AA440" i="8" s="1"/>
  <c r="S429" i="8" l="1"/>
  <c r="AJ429" i="8" s="1"/>
  <c r="W429" i="8"/>
  <c r="AN429" i="8" l="1"/>
  <c r="G429" i="8"/>
  <c r="O429" i="8" s="1"/>
  <c r="AK429" i="8" l="1"/>
  <c r="AL429" i="8"/>
  <c r="N430" i="8"/>
  <c r="K429" i="8"/>
  <c r="J430" i="8" s="1"/>
  <c r="AN430" i="8"/>
  <c r="F430" i="8"/>
  <c r="H430" i="8" s="1"/>
  <c r="I429" i="8"/>
  <c r="V429" i="8" l="1"/>
  <c r="U430" i="8" s="1"/>
  <c r="AN431" i="8"/>
  <c r="E429" i="8" l="1"/>
  <c r="T429" i="8" s="1"/>
  <c r="AN432" i="8"/>
  <c r="D430" i="8" l="1"/>
  <c r="AN433" i="8"/>
  <c r="R430" i="8"/>
  <c r="Z429" i="8"/>
  <c r="AM429" i="8"/>
  <c r="W430" i="8" l="1"/>
  <c r="AK430" i="8"/>
  <c r="AL430" i="8"/>
  <c r="S430" i="8"/>
  <c r="AN434" i="8"/>
  <c r="AJ430" i="8" l="1"/>
  <c r="AN435" i="8"/>
  <c r="G430" i="8" l="1"/>
  <c r="O430" i="8" s="1"/>
  <c r="N431" i="8" l="1"/>
  <c r="K430" i="8"/>
  <c r="J431" i="8" s="1"/>
  <c r="F431" i="8"/>
  <c r="H431" i="8" s="1"/>
  <c r="I430" i="8"/>
  <c r="V430" i="8" l="1"/>
  <c r="U431" i="8" l="1"/>
  <c r="E430" i="8"/>
  <c r="T430" i="8" l="1"/>
  <c r="AM430" i="8" s="1"/>
  <c r="D431" i="8"/>
  <c r="R431" i="8" l="1"/>
  <c r="Z430" i="8"/>
  <c r="AK431" i="8" l="1"/>
  <c r="AL431" i="8"/>
  <c r="S431" i="8"/>
  <c r="W431" i="8"/>
  <c r="AJ431" i="8" l="1"/>
  <c r="G431" i="8" l="1"/>
  <c r="F432" i="8" l="1"/>
  <c r="H432" i="8" s="1"/>
  <c r="I431" i="8"/>
  <c r="O431" i="8"/>
  <c r="N432" i="8" l="1"/>
  <c r="K431" i="8"/>
  <c r="J432" i="8" l="1"/>
  <c r="V431" i="8"/>
  <c r="U432" i="8" l="1"/>
  <c r="E431" i="8"/>
  <c r="T431" i="8" l="1"/>
  <c r="AM431" i="8" s="1"/>
  <c r="D432" i="8"/>
  <c r="R432" i="8" l="1"/>
  <c r="Z431" i="8"/>
  <c r="AK432" i="8" l="1"/>
  <c r="AL432" i="8"/>
  <c r="S432" i="8"/>
  <c r="W432" i="8"/>
  <c r="AJ432" i="8" l="1"/>
  <c r="G432" i="8" l="1"/>
  <c r="F433" i="8" l="1"/>
  <c r="H433" i="8" s="1"/>
  <c r="I432" i="8"/>
  <c r="O432" i="8"/>
  <c r="N433" i="8" l="1"/>
  <c r="K432" i="8"/>
  <c r="J433" i="8" l="1"/>
  <c r="V432" i="8"/>
  <c r="U433" i="8" l="1"/>
  <c r="E432" i="8"/>
  <c r="T432" i="8" l="1"/>
  <c r="AM432" i="8" s="1"/>
  <c r="D433" i="8"/>
  <c r="R433" i="8" l="1"/>
  <c r="Z432" i="8"/>
  <c r="AK433" i="8" l="1"/>
  <c r="AL433" i="8"/>
  <c r="S433" i="8"/>
  <c r="W433" i="8"/>
  <c r="AJ433" i="8" l="1"/>
  <c r="G433" i="8" l="1"/>
  <c r="F434" i="8" l="1"/>
  <c r="H434" i="8" s="1"/>
  <c r="I433" i="8"/>
  <c r="O433" i="8"/>
  <c r="N434" i="8" l="1"/>
  <c r="K433" i="8"/>
  <c r="J434" i="8" l="1"/>
  <c r="V433" i="8"/>
  <c r="U434" i="8" l="1"/>
  <c r="E433" i="8"/>
  <c r="T433" i="8" l="1"/>
  <c r="AM433" i="8" s="1"/>
  <c r="D434" i="8"/>
  <c r="R434" i="8" l="1"/>
  <c r="Z433" i="8"/>
  <c r="AK434" i="8" l="1"/>
  <c r="AL434" i="8"/>
  <c r="S434" i="8"/>
  <c r="W434" i="8"/>
  <c r="AJ434" i="8" l="1"/>
  <c r="G434" i="8" l="1"/>
  <c r="F435" i="8" l="1"/>
  <c r="H435" i="8" s="1"/>
  <c r="I434" i="8"/>
  <c r="O434" i="8"/>
  <c r="N435" i="8" l="1"/>
  <c r="K434" i="8"/>
  <c r="J435" i="8" l="1"/>
  <c r="V434" i="8"/>
  <c r="U435" i="8" l="1"/>
  <c r="E434" i="8"/>
  <c r="T434" i="8" l="1"/>
  <c r="AM434" i="8" s="1"/>
  <c r="D435" i="8"/>
  <c r="R435" i="8" l="1"/>
  <c r="Z434" i="8"/>
  <c r="AK435" i="8" l="1"/>
  <c r="AL435" i="8"/>
  <c r="S435" i="8"/>
  <c r="W435" i="8"/>
  <c r="AJ435" i="8" l="1"/>
  <c r="G435" i="8" l="1"/>
  <c r="F436" i="8" l="1"/>
  <c r="H436" i="8" s="1"/>
  <c r="I435" i="8"/>
  <c r="O435" i="8"/>
  <c r="N436" i="8" l="1"/>
  <c r="K435" i="8"/>
  <c r="J436" i="8" l="1"/>
  <c r="V435" i="8"/>
  <c r="U436" i="8" l="1"/>
  <c r="E435" i="8"/>
  <c r="T435" i="8" l="1"/>
  <c r="D436" i="8"/>
  <c r="AM435" i="8"/>
  <c r="R436" i="8" l="1"/>
  <c r="Z435" i="8"/>
  <c r="S436" i="8" l="1"/>
  <c r="AJ436" i="8" s="1"/>
  <c r="G436" i="8" s="1"/>
  <c r="O436" i="8" s="1"/>
  <c r="N437" i="8" s="1"/>
  <c r="AN436" i="8"/>
  <c r="AK436" i="8" s="1"/>
  <c r="W436" i="8"/>
  <c r="AL436" i="8" l="1"/>
  <c r="K436" i="8"/>
  <c r="AN437" i="8"/>
  <c r="F437" i="8"/>
  <c r="H437" i="8" s="1"/>
  <c r="I436" i="8"/>
  <c r="AN438" i="8" l="1"/>
  <c r="J437" i="8"/>
  <c r="V436" i="8"/>
  <c r="U437" i="8" l="1"/>
  <c r="E436" i="8"/>
  <c r="AN439" i="8"/>
  <c r="AN440" i="8" l="1"/>
  <c r="AB429" i="8"/>
  <c r="AB430" i="8" s="1"/>
  <c r="AB431" i="8" s="1"/>
  <c r="AB432" i="8" s="1"/>
  <c r="AB433" i="8" s="1"/>
  <c r="AB434" i="8" s="1"/>
  <c r="AB435" i="8" s="1"/>
  <c r="AB436" i="8" s="1"/>
  <c r="AB437" i="8" s="1"/>
  <c r="AB438" i="8" s="1"/>
  <c r="AB439" i="8" s="1"/>
  <c r="AB440" i="8" s="1"/>
  <c r="T436" i="8"/>
  <c r="D437" i="8"/>
  <c r="R437" i="8" l="1"/>
  <c r="Z436" i="8"/>
  <c r="AM436" i="8"/>
  <c r="AK437" i="8" l="1"/>
  <c r="AL437" i="8"/>
  <c r="S437" i="8"/>
  <c r="W437" i="8"/>
  <c r="AJ437" i="8" l="1"/>
  <c r="G437" i="8" l="1"/>
  <c r="O437" i="8" s="1"/>
  <c r="N438" i="8" l="1"/>
  <c r="K437" i="8"/>
  <c r="F438" i="8"/>
  <c r="H438" i="8" s="1"/>
  <c r="I437" i="8"/>
  <c r="J438" i="8" l="1"/>
  <c r="V437" i="8"/>
  <c r="U438" i="8" l="1"/>
  <c r="E437" i="8"/>
  <c r="T437" i="8" l="1"/>
  <c r="AM437" i="8" s="1"/>
  <c r="D438" i="8"/>
  <c r="R438" i="8" l="1"/>
  <c r="Z437" i="8"/>
  <c r="AK438" i="8" l="1"/>
  <c r="AL438" i="8"/>
  <c r="S438" i="8"/>
  <c r="W438" i="8"/>
  <c r="AJ438" i="8" l="1"/>
  <c r="G438" i="8" l="1"/>
  <c r="O438" i="8" s="1"/>
  <c r="N439" i="8" l="1"/>
  <c r="K438" i="8"/>
  <c r="J439" i="8" s="1"/>
  <c r="F439" i="8"/>
  <c r="H439" i="8" s="1"/>
  <c r="I438" i="8"/>
  <c r="V438" i="8" l="1"/>
  <c r="U439" i="8" s="1"/>
  <c r="E438" i="8" l="1"/>
  <c r="T438" i="8" s="1"/>
  <c r="AM438" i="8" s="1"/>
  <c r="D439" i="8" l="1"/>
  <c r="R439" i="8"/>
  <c r="Z438" i="8"/>
  <c r="AK439" i="8" l="1"/>
  <c r="AL439" i="8"/>
  <c r="S439" i="8"/>
  <c r="W439" i="8"/>
  <c r="AJ439" i="8" l="1"/>
  <c r="G439" i="8" l="1"/>
  <c r="F440" i="8" l="1"/>
  <c r="H440" i="8" s="1"/>
  <c r="I439" i="8"/>
  <c r="O439" i="8"/>
  <c r="N440" i="8" l="1"/>
  <c r="K439" i="8"/>
  <c r="J440" i="8" l="1"/>
  <c r="V439" i="8"/>
  <c r="U440" i="8" l="1"/>
  <c r="E439" i="8"/>
  <c r="T439" i="8" l="1"/>
  <c r="AM439" i="8" s="1"/>
  <c r="D440" i="8"/>
  <c r="R440" i="8" l="1"/>
  <c r="Z439" i="8"/>
  <c r="AK440" i="8" l="1"/>
  <c r="AL440" i="8"/>
  <c r="S440" i="8"/>
  <c r="W440" i="8"/>
  <c r="AJ440" i="8" l="1"/>
  <c r="G440" i="8" l="1"/>
  <c r="F441" i="8" l="1"/>
  <c r="H441" i="8" s="1"/>
  <c r="I440" i="8"/>
  <c r="O440" i="8"/>
  <c r="N441" i="8" l="1"/>
  <c r="K440" i="8"/>
  <c r="J441" i="8" l="1"/>
  <c r="V440" i="8"/>
  <c r="U441" i="8" l="1"/>
  <c r="E440" i="8"/>
  <c r="T440" i="8" l="1"/>
  <c r="AM440" i="8" s="1"/>
  <c r="D441" i="8"/>
  <c r="R441" i="8" l="1"/>
  <c r="Z440" i="8"/>
  <c r="AA441" i="8" s="1"/>
  <c r="AA442" i="8" s="1"/>
  <c r="AA443" i="8" s="1"/>
  <c r="AA444" i="8" s="1"/>
  <c r="AA445" i="8" s="1"/>
  <c r="AA446" i="8" s="1"/>
  <c r="AA447" i="8" s="1"/>
  <c r="AA448" i="8" s="1"/>
  <c r="AA449" i="8" s="1"/>
  <c r="AA450" i="8" s="1"/>
  <c r="AA451" i="8" s="1"/>
  <c r="AA452" i="8" s="1"/>
  <c r="W441" i="8" l="1"/>
  <c r="S441" i="8"/>
  <c r="AJ441" i="8" s="1"/>
  <c r="G441" i="8" l="1"/>
  <c r="O441" i="8" s="1"/>
  <c r="N442" i="8" s="1"/>
  <c r="AN441" i="8"/>
  <c r="AK441" i="8" l="1"/>
  <c r="AL441" i="8"/>
  <c r="I441" i="8"/>
  <c r="F442" i="8"/>
  <c r="H442" i="8" s="1"/>
  <c r="K441" i="8"/>
  <c r="AN442" i="8"/>
  <c r="J442" i="8" l="1"/>
  <c r="V441" i="8"/>
  <c r="AN443" i="8"/>
  <c r="U442" i="8" l="1"/>
  <c r="E441" i="8"/>
  <c r="AN444" i="8"/>
  <c r="T441" i="8" l="1"/>
  <c r="AM441" i="8" s="1"/>
  <c r="D442" i="8"/>
  <c r="AN445" i="8"/>
  <c r="R442" i="8" l="1"/>
  <c r="Z441" i="8"/>
  <c r="AN446" i="8"/>
  <c r="AK442" i="8" l="1"/>
  <c r="AL442" i="8"/>
  <c r="W442" i="8"/>
  <c r="S442" i="8"/>
  <c r="AJ442" i="8" s="1"/>
  <c r="G442" i="8" s="1"/>
  <c r="AN447" i="8"/>
  <c r="O442" i="8" l="1"/>
  <c r="F443" i="8"/>
  <c r="H443" i="8" s="1"/>
  <c r="I442" i="8"/>
  <c r="N443" i="8" l="1"/>
  <c r="K442" i="8"/>
  <c r="J443" i="8" l="1"/>
  <c r="V442" i="8"/>
  <c r="U443" i="8" l="1"/>
  <c r="E442" i="8"/>
  <c r="T442" i="8" l="1"/>
  <c r="AM442" i="8" s="1"/>
  <c r="D443" i="8"/>
  <c r="R443" i="8" l="1"/>
  <c r="Z442" i="8"/>
  <c r="AK443" i="8" l="1"/>
  <c r="AL443" i="8"/>
  <c r="S443" i="8"/>
  <c r="W443" i="8"/>
  <c r="AJ443" i="8" l="1"/>
  <c r="G443" i="8" l="1"/>
  <c r="O443" i="8" s="1"/>
  <c r="N444" i="8" l="1"/>
  <c r="F444" i="8"/>
  <c r="H444" i="8" s="1"/>
  <c r="I443" i="8"/>
  <c r="K443" i="8"/>
  <c r="J444" i="8" s="1"/>
  <c r="V443" i="8" l="1"/>
  <c r="U444" i="8" l="1"/>
  <c r="E443" i="8"/>
  <c r="T443" i="8" l="1"/>
  <c r="AM443" i="8" s="1"/>
  <c r="D444" i="8"/>
  <c r="R444" i="8" l="1"/>
  <c r="Z443" i="8"/>
  <c r="AK444" i="8" l="1"/>
  <c r="AL444" i="8"/>
  <c r="S444" i="8"/>
  <c r="W444" i="8"/>
  <c r="AJ444" i="8" l="1"/>
  <c r="G444" i="8" l="1"/>
  <c r="F445" i="8" l="1"/>
  <c r="H445" i="8" s="1"/>
  <c r="I444" i="8"/>
  <c r="O444" i="8"/>
  <c r="N445" i="8" l="1"/>
  <c r="K444" i="8"/>
  <c r="J445" i="8" l="1"/>
  <c r="V444" i="8"/>
  <c r="U445" i="8" l="1"/>
  <c r="E444" i="8"/>
  <c r="T444" i="8" l="1"/>
  <c r="AM444" i="8" s="1"/>
  <c r="D445" i="8"/>
  <c r="R445" i="8" l="1"/>
  <c r="Z444" i="8"/>
  <c r="AK445" i="8" l="1"/>
  <c r="AL445" i="8"/>
  <c r="S445" i="8"/>
  <c r="W445" i="8"/>
  <c r="AJ445" i="8" l="1"/>
  <c r="G445" i="8" l="1"/>
  <c r="O445" i="8" l="1"/>
  <c r="F446" i="8"/>
  <c r="H446" i="8" s="1"/>
  <c r="I445" i="8"/>
  <c r="N446" i="8" l="1"/>
  <c r="K445" i="8"/>
  <c r="J446" i="8" l="1"/>
  <c r="V445" i="8"/>
  <c r="E445" i="8" l="1"/>
  <c r="U446" i="8"/>
  <c r="T445" i="8" l="1"/>
  <c r="AM445" i="8" s="1"/>
  <c r="D446" i="8"/>
  <c r="R446" i="8" l="1"/>
  <c r="Z445" i="8"/>
  <c r="AK446" i="8" l="1"/>
  <c r="AL446" i="8"/>
  <c r="S446" i="8"/>
  <c r="W446" i="8"/>
  <c r="AJ446" i="8" l="1"/>
  <c r="G446" i="8" l="1"/>
  <c r="O446" i="8" l="1"/>
  <c r="F447" i="8"/>
  <c r="H447" i="8" s="1"/>
  <c r="I446" i="8"/>
  <c r="N447" i="8" l="1"/>
  <c r="K446" i="8"/>
  <c r="J447" i="8" l="1"/>
  <c r="V446" i="8"/>
  <c r="U447" i="8" l="1"/>
  <c r="E446" i="8"/>
  <c r="T446" i="8" l="1"/>
  <c r="AM446" i="8" s="1"/>
  <c r="D447" i="8"/>
  <c r="R447" i="8" l="1"/>
  <c r="Z446" i="8"/>
  <c r="AK447" i="8" l="1"/>
  <c r="AL447" i="8"/>
  <c r="S447" i="8"/>
  <c r="W447" i="8"/>
  <c r="AJ447" i="8" l="1"/>
  <c r="G447" i="8" l="1"/>
  <c r="F448" i="8" l="1"/>
  <c r="H448" i="8" s="1"/>
  <c r="I447" i="8"/>
  <c r="O447" i="8"/>
  <c r="N448" i="8" l="1"/>
  <c r="K447" i="8"/>
  <c r="J448" i="8" l="1"/>
  <c r="V447" i="8"/>
  <c r="U448" i="8" l="1"/>
  <c r="E447" i="8"/>
  <c r="T447" i="8" l="1"/>
  <c r="AM447" i="8" s="1"/>
  <c r="D448" i="8"/>
  <c r="R448" i="8" l="1"/>
  <c r="Z447" i="8"/>
  <c r="S448" i="8" l="1"/>
  <c r="AJ448" i="8" s="1"/>
  <c r="G448" i="8" s="1"/>
  <c r="AN448" i="8"/>
  <c r="AK448" i="8" s="1"/>
  <c r="W448" i="8"/>
  <c r="AL448" i="8" l="1"/>
  <c r="O448" i="8"/>
  <c r="N449" i="8" s="1"/>
  <c r="F449" i="8"/>
  <c r="H449" i="8" s="1"/>
  <c r="I448" i="8"/>
  <c r="AN449" i="8"/>
  <c r="K448" i="8" l="1"/>
  <c r="V448" i="8" s="1"/>
  <c r="AN450" i="8"/>
  <c r="J449" i="8" l="1"/>
  <c r="AN451" i="8"/>
  <c r="U449" i="8"/>
  <c r="E448" i="8"/>
  <c r="T448" i="8" l="1"/>
  <c r="AM448" i="8" s="1"/>
  <c r="D449" i="8"/>
  <c r="AN452" i="8"/>
  <c r="AB441" i="8"/>
  <c r="AB442" i="8" s="1"/>
  <c r="AB443" i="8" s="1"/>
  <c r="AB444" i="8" s="1"/>
  <c r="AB445" i="8" s="1"/>
  <c r="AB446" i="8" s="1"/>
  <c r="AB447" i="8" s="1"/>
  <c r="AB448" i="8" s="1"/>
  <c r="AB449" i="8" s="1"/>
  <c r="AB450" i="8" s="1"/>
  <c r="AB451" i="8" s="1"/>
  <c r="AB452" i="8" s="1"/>
  <c r="R449" i="8" l="1"/>
  <c r="Z448" i="8"/>
  <c r="AK449" i="8" l="1"/>
  <c r="AL449" i="8"/>
  <c r="S449" i="8"/>
  <c r="W449" i="8"/>
  <c r="AJ449" i="8" l="1"/>
  <c r="G449" i="8" l="1"/>
  <c r="O449" i="8" s="1"/>
  <c r="N450" i="8" l="1"/>
  <c r="F450" i="8"/>
  <c r="H450" i="8" s="1"/>
  <c r="I449" i="8"/>
  <c r="K449" i="8"/>
  <c r="J450" i="8" s="1"/>
  <c r="V449" i="8" l="1"/>
  <c r="U450" i="8" l="1"/>
  <c r="E449" i="8"/>
  <c r="T449" i="8" l="1"/>
  <c r="AM449" i="8" s="1"/>
  <c r="D450" i="8"/>
  <c r="R450" i="8" l="1"/>
  <c r="Z449" i="8"/>
  <c r="AK450" i="8" l="1"/>
  <c r="AL450" i="8"/>
  <c r="S450" i="8"/>
  <c r="W450" i="8"/>
  <c r="AJ450" i="8" l="1"/>
  <c r="G450" i="8" l="1"/>
  <c r="F451" i="8" l="1"/>
  <c r="H451" i="8" s="1"/>
  <c r="I450" i="8"/>
  <c r="O450" i="8"/>
  <c r="N451" i="8" l="1"/>
  <c r="K450" i="8"/>
  <c r="J451" i="8" l="1"/>
  <c r="V450" i="8"/>
  <c r="U451" i="8" l="1"/>
  <c r="E450" i="8"/>
  <c r="T450" i="8" l="1"/>
  <c r="AM450" i="8" s="1"/>
  <c r="D451" i="8"/>
  <c r="R451" i="8" l="1"/>
  <c r="Z450" i="8"/>
  <c r="AK451" i="8" l="1"/>
  <c r="AL451" i="8"/>
  <c r="S451" i="8"/>
  <c r="W451" i="8"/>
  <c r="AJ451" i="8" l="1"/>
  <c r="G451" i="8" l="1"/>
  <c r="F452" i="8" l="1"/>
  <c r="H452" i="8" s="1"/>
  <c r="I451" i="8"/>
  <c r="O451" i="8"/>
  <c r="N452" i="8" l="1"/>
  <c r="K451" i="8"/>
  <c r="J452" i="8" l="1"/>
  <c r="V451" i="8"/>
  <c r="U452" i="8" l="1"/>
  <c r="E451" i="8"/>
  <c r="T451" i="8" l="1"/>
  <c r="AM451" i="8" s="1"/>
  <c r="D452" i="8"/>
  <c r="R452" i="8" l="1"/>
  <c r="Z451" i="8"/>
  <c r="AK452" i="8" l="1"/>
  <c r="AL452" i="8"/>
  <c r="S452" i="8"/>
  <c r="W452" i="8"/>
  <c r="AJ452" i="8" l="1"/>
  <c r="G452" i="8" l="1"/>
  <c r="F453" i="8" l="1"/>
  <c r="H453" i="8" s="1"/>
  <c r="I452" i="8"/>
  <c r="O452" i="8"/>
  <c r="N453" i="8" l="1"/>
  <c r="K452" i="8"/>
  <c r="J453" i="8" l="1"/>
  <c r="V452" i="8"/>
  <c r="U453" i="8" l="1"/>
  <c r="E452" i="8"/>
  <c r="T452" i="8" l="1"/>
  <c r="AM452" i="8" s="1"/>
  <c r="D453" i="8"/>
  <c r="R453" i="8" l="1"/>
  <c r="Z452" i="8"/>
  <c r="AA453" i="8" s="1"/>
  <c r="AA454" i="8" s="1"/>
  <c r="AA455" i="8" s="1"/>
  <c r="AA456" i="8" s="1"/>
  <c r="AA457" i="8" s="1"/>
  <c r="AA458" i="8" s="1"/>
  <c r="AA459" i="8" s="1"/>
  <c r="AA460" i="8" s="1"/>
  <c r="AA461" i="8" s="1"/>
  <c r="AA462" i="8" s="1"/>
  <c r="AA463" i="8" s="1"/>
  <c r="AA464" i="8" s="1"/>
  <c r="S453" i="8" l="1"/>
  <c r="AJ453" i="8" s="1"/>
  <c r="W453" i="8"/>
  <c r="G453" i="8" l="1"/>
  <c r="F454" i="8" s="1"/>
  <c r="H454" i="8" s="1"/>
  <c r="AN453" i="8"/>
  <c r="AK453" i="8" l="1"/>
  <c r="AL453" i="8"/>
  <c r="O453" i="8"/>
  <c r="N454" i="8" s="1"/>
  <c r="I453" i="8"/>
  <c r="AN454" i="8"/>
  <c r="K453" i="8" l="1"/>
  <c r="J454" i="8" s="1"/>
  <c r="AN455" i="8"/>
  <c r="V453" i="8" l="1"/>
  <c r="E453" i="8" s="1"/>
  <c r="AN456" i="8"/>
  <c r="U454" i="8" l="1"/>
  <c r="AN457" i="8"/>
  <c r="T453" i="8"/>
  <c r="D454" i="8"/>
  <c r="R454" i="8" l="1"/>
  <c r="W454" i="8" s="1"/>
  <c r="Z453" i="8"/>
  <c r="AM453" i="8"/>
  <c r="AN458" i="8"/>
  <c r="AK454" i="8" l="1"/>
  <c r="AL454" i="8"/>
  <c r="AN459" i="8"/>
  <c r="S454" i="8"/>
  <c r="AJ454" i="8" l="1"/>
  <c r="G454" i="8" l="1"/>
  <c r="F455" i="8" l="1"/>
  <c r="H455" i="8" s="1"/>
  <c r="I454" i="8"/>
  <c r="O454" i="8"/>
  <c r="N455" i="8" l="1"/>
  <c r="K454" i="8"/>
  <c r="J455" i="8" l="1"/>
  <c r="V454" i="8"/>
  <c r="U455" i="8" l="1"/>
  <c r="E454" i="8"/>
  <c r="T454" i="8" l="1"/>
  <c r="AM454" i="8" s="1"/>
  <c r="D455" i="8"/>
  <c r="R455" i="8" l="1"/>
  <c r="Z454" i="8"/>
  <c r="AK455" i="8" l="1"/>
  <c r="AL455" i="8"/>
  <c r="S455" i="8"/>
  <c r="W455" i="8"/>
  <c r="AJ455" i="8" l="1"/>
  <c r="G455" i="8" l="1"/>
  <c r="O455" i="8" s="1"/>
  <c r="N456" i="8" l="1"/>
  <c r="K455" i="8"/>
  <c r="J456" i="8" s="1"/>
  <c r="F456" i="8"/>
  <c r="H456" i="8" s="1"/>
  <c r="I455" i="8"/>
  <c r="V455" i="8" l="1"/>
  <c r="U456" i="8" s="1"/>
  <c r="E455" i="8" l="1"/>
  <c r="T455" i="8" s="1"/>
  <c r="D456" i="8" l="1"/>
  <c r="R456" i="8"/>
  <c r="Z455" i="8"/>
  <c r="AM455" i="8"/>
  <c r="AL456" i="8" l="1"/>
  <c r="AK456" i="8"/>
  <c r="W456" i="8"/>
  <c r="S456" i="8"/>
  <c r="AJ456" i="8" l="1"/>
  <c r="G456" i="8" l="1"/>
  <c r="F457" i="8" l="1"/>
  <c r="H457" i="8" s="1"/>
  <c r="I456" i="8"/>
  <c r="O456" i="8"/>
  <c r="N457" i="8" l="1"/>
  <c r="K456" i="8"/>
  <c r="J457" i="8" l="1"/>
  <c r="V456" i="8"/>
  <c r="U457" i="8" l="1"/>
  <c r="E456" i="8"/>
  <c r="T456" i="8" l="1"/>
  <c r="AM456" i="8" s="1"/>
  <c r="D457" i="8"/>
  <c r="R457" i="8" l="1"/>
  <c r="Z456" i="8"/>
  <c r="AK457" i="8" l="1"/>
  <c r="AL457" i="8"/>
  <c r="S457" i="8"/>
  <c r="W457" i="8"/>
  <c r="AJ457" i="8" l="1"/>
  <c r="G457" i="8" l="1"/>
  <c r="F458" i="8" l="1"/>
  <c r="H458" i="8" s="1"/>
  <c r="I457" i="8"/>
  <c r="O457" i="8"/>
  <c r="N458" i="8" l="1"/>
  <c r="K457" i="8"/>
  <c r="J458" i="8" l="1"/>
  <c r="V457" i="8"/>
  <c r="U458" i="8" l="1"/>
  <c r="E457" i="8"/>
  <c r="T457" i="8" l="1"/>
  <c r="AM457" i="8" s="1"/>
  <c r="D458" i="8"/>
  <c r="R458" i="8" l="1"/>
  <c r="Z457" i="8"/>
  <c r="AK458" i="8" l="1"/>
  <c r="AL458" i="8"/>
  <c r="S458" i="8"/>
  <c r="W458" i="8"/>
  <c r="AJ458" i="8" l="1"/>
  <c r="G458" i="8" l="1"/>
  <c r="F459" i="8" l="1"/>
  <c r="H459" i="8" s="1"/>
  <c r="I458" i="8"/>
  <c r="O458" i="8"/>
  <c r="N459" i="8" l="1"/>
  <c r="K458" i="8"/>
  <c r="J459" i="8" l="1"/>
  <c r="V458" i="8"/>
  <c r="U459" i="8" l="1"/>
  <c r="E458" i="8"/>
  <c r="T458" i="8" l="1"/>
  <c r="AM458" i="8" s="1"/>
  <c r="D459" i="8"/>
  <c r="R459" i="8" l="1"/>
  <c r="Z458" i="8"/>
  <c r="AK459" i="8" l="1"/>
  <c r="AL459" i="8"/>
  <c r="S459" i="8"/>
  <c r="W459" i="8"/>
  <c r="AJ459" i="8" l="1"/>
  <c r="G459" i="8" l="1"/>
  <c r="F460" i="8" l="1"/>
  <c r="H460" i="8" s="1"/>
  <c r="I459" i="8"/>
  <c r="O459" i="8"/>
  <c r="N460" i="8" l="1"/>
  <c r="K459" i="8"/>
  <c r="J460" i="8" l="1"/>
  <c r="V459" i="8"/>
  <c r="U460" i="8" l="1"/>
  <c r="E459" i="8"/>
  <c r="T459" i="8" l="1"/>
  <c r="AM459" i="8" s="1"/>
  <c r="D460" i="8"/>
  <c r="R460" i="8" l="1"/>
  <c r="Z459" i="8"/>
  <c r="S460" i="8" l="1"/>
  <c r="AJ460" i="8" s="1"/>
  <c r="G460" i="8" s="1"/>
  <c r="O460" i="8" s="1"/>
  <c r="AN460" i="8"/>
  <c r="AL460" i="8" s="1"/>
  <c r="W460" i="8"/>
  <c r="AK460" i="8" l="1"/>
  <c r="N461" i="8"/>
  <c r="F461" i="8"/>
  <c r="H461" i="8" s="1"/>
  <c r="I460" i="8"/>
  <c r="AN461" i="8"/>
  <c r="K460" i="8"/>
  <c r="J461" i="8" s="1"/>
  <c r="AN462" i="8" l="1"/>
  <c r="V460" i="8"/>
  <c r="U461" i="8" l="1"/>
  <c r="E460" i="8"/>
  <c r="AN463" i="8"/>
  <c r="AN464" i="8" l="1"/>
  <c r="AB453" i="8"/>
  <c r="AB454" i="8" s="1"/>
  <c r="AB455" i="8" s="1"/>
  <c r="AB456" i="8" s="1"/>
  <c r="AB457" i="8" s="1"/>
  <c r="AB458" i="8" s="1"/>
  <c r="AB459" i="8" s="1"/>
  <c r="AB460" i="8" s="1"/>
  <c r="AB461" i="8" s="1"/>
  <c r="AB462" i="8" s="1"/>
  <c r="AB463" i="8" s="1"/>
  <c r="AB464" i="8" s="1"/>
  <c r="T460" i="8"/>
  <c r="D461" i="8"/>
  <c r="R461" i="8" l="1"/>
  <c r="Z460" i="8"/>
  <c r="AM460" i="8"/>
  <c r="W461" i="8" l="1"/>
  <c r="AK461" i="8"/>
  <c r="AL461" i="8"/>
  <c r="S461" i="8"/>
  <c r="AJ461" i="8" l="1"/>
  <c r="G461" i="8" l="1"/>
  <c r="F462" i="8" l="1"/>
  <c r="H462" i="8" s="1"/>
  <c r="I461" i="8"/>
  <c r="O461" i="8"/>
  <c r="N462" i="8" l="1"/>
  <c r="K461" i="8"/>
  <c r="J462" i="8" l="1"/>
  <c r="V461" i="8"/>
  <c r="U462" i="8" l="1"/>
  <c r="E461" i="8"/>
  <c r="T461" i="8" l="1"/>
  <c r="AM461" i="8" s="1"/>
  <c r="D462" i="8"/>
  <c r="R462" i="8" l="1"/>
  <c r="Z461" i="8"/>
  <c r="AK462" i="8" l="1"/>
  <c r="AL462" i="8"/>
  <c r="S462" i="8"/>
  <c r="W462" i="8"/>
  <c r="AJ462" i="8" l="1"/>
  <c r="G462" i="8" l="1"/>
  <c r="O462" i="8" s="1"/>
  <c r="N463" i="8" l="1"/>
  <c r="K462" i="8"/>
  <c r="J463" i="8" s="1"/>
  <c r="F463" i="8"/>
  <c r="H463" i="8" s="1"/>
  <c r="I462" i="8"/>
  <c r="V462" i="8" l="1"/>
  <c r="U463" i="8" s="1"/>
  <c r="E462" i="8" l="1"/>
  <c r="T462" i="8" s="1"/>
  <c r="D463" i="8" l="1"/>
  <c r="R463" i="8"/>
  <c r="Z462" i="8"/>
  <c r="AM462" i="8"/>
  <c r="AK463" i="8" l="1"/>
  <c r="AL463" i="8"/>
  <c r="W463" i="8"/>
  <c r="S463" i="8"/>
  <c r="AJ463" i="8" l="1"/>
  <c r="G463" i="8" l="1"/>
  <c r="F464" i="8" l="1"/>
  <c r="H464" i="8" s="1"/>
  <c r="I463" i="8"/>
  <c r="O463" i="8"/>
  <c r="N464" i="8" l="1"/>
  <c r="K463" i="8"/>
  <c r="J464" i="8" l="1"/>
  <c r="V463" i="8"/>
  <c r="U464" i="8" l="1"/>
  <c r="E463" i="8"/>
  <c r="T463" i="8" l="1"/>
  <c r="AM463" i="8" s="1"/>
  <c r="D464" i="8"/>
  <c r="R464" i="8" l="1"/>
  <c r="Z463" i="8"/>
  <c r="AL464" i="8" l="1"/>
  <c r="AK464" i="8"/>
  <c r="S464" i="8"/>
  <c r="W464" i="8"/>
  <c r="AJ464" i="8" l="1"/>
  <c r="G464" i="8" l="1"/>
  <c r="F465" i="8" l="1"/>
  <c r="H465" i="8" s="1"/>
  <c r="I464" i="8"/>
  <c r="O464" i="8"/>
  <c r="N465" i="8" l="1"/>
  <c r="K464" i="8"/>
  <c r="J465" i="8" l="1"/>
  <c r="V464" i="8"/>
  <c r="U465" i="8" l="1"/>
  <c r="E464" i="8"/>
  <c r="T464" i="8" l="1"/>
  <c r="AM464" i="8" s="1"/>
  <c r="D465" i="8"/>
  <c r="R465" i="8" l="1"/>
  <c r="Z464" i="8"/>
  <c r="AA465" i="8" s="1"/>
  <c r="AA466" i="8" s="1"/>
  <c r="AA467" i="8" s="1"/>
  <c r="AA468" i="8" s="1"/>
  <c r="AA469" i="8" s="1"/>
  <c r="AA470" i="8" s="1"/>
  <c r="AA471" i="8" s="1"/>
  <c r="AA472" i="8" s="1"/>
  <c r="AA473" i="8" s="1"/>
  <c r="AA474" i="8" s="1"/>
  <c r="AA475" i="8" s="1"/>
  <c r="AA476" i="8" s="1"/>
  <c r="S465" i="8" l="1"/>
  <c r="AJ465" i="8" s="1"/>
  <c r="W465" i="8"/>
  <c r="G465" i="8" l="1"/>
  <c r="I465" i="8" s="1"/>
  <c r="AN465" i="8"/>
  <c r="AK465" i="8" l="1"/>
  <c r="AL465" i="8"/>
  <c r="F466" i="8"/>
  <c r="H466" i="8" s="1"/>
  <c r="O465" i="8"/>
  <c r="N466" i="8" s="1"/>
  <c r="AN466" i="8"/>
  <c r="K465" i="8" l="1"/>
  <c r="J466" i="8" s="1"/>
  <c r="AN467" i="8"/>
  <c r="V465" i="8" l="1"/>
  <c r="U466" i="8" s="1"/>
  <c r="AN468" i="8"/>
  <c r="E465" i="8" l="1"/>
  <c r="T465" i="8" s="1"/>
  <c r="AM465" i="8" s="1"/>
  <c r="AN469" i="8"/>
  <c r="D466" i="8" l="1"/>
  <c r="AN470" i="8"/>
  <c r="AN471" i="8"/>
  <c r="R466" i="8"/>
  <c r="Z465" i="8"/>
  <c r="W466" i="8" l="1"/>
  <c r="AK466" i="8"/>
  <c r="AL466" i="8"/>
  <c r="S466" i="8"/>
  <c r="AJ466" i="8" l="1"/>
  <c r="G466" i="8" l="1"/>
  <c r="O466" i="8" s="1"/>
  <c r="N467" i="8" l="1"/>
  <c r="K466" i="8"/>
  <c r="J467" i="8" s="1"/>
  <c r="F467" i="8"/>
  <c r="H467" i="8" s="1"/>
  <c r="I466" i="8"/>
  <c r="V466" i="8" l="1"/>
  <c r="U467" i="8" l="1"/>
  <c r="E466" i="8"/>
  <c r="T466" i="8" l="1"/>
  <c r="AM466" i="8" s="1"/>
  <c r="D467" i="8"/>
  <c r="R467" i="8" l="1"/>
  <c r="Z466" i="8"/>
  <c r="AK467" i="8" l="1"/>
  <c r="AL467" i="8"/>
  <c r="S467" i="8"/>
  <c r="W467" i="8"/>
  <c r="AJ467" i="8" l="1"/>
  <c r="G467" i="8" l="1"/>
  <c r="O467" i="8" s="1"/>
  <c r="N468" i="8" l="1"/>
  <c r="K467" i="8"/>
  <c r="J468" i="8" s="1"/>
  <c r="F468" i="8"/>
  <c r="H468" i="8" s="1"/>
  <c r="I467" i="8"/>
  <c r="V467" i="8" l="1"/>
  <c r="U468" i="8" s="1"/>
  <c r="E467" i="8" l="1"/>
  <c r="T467" i="8" s="1"/>
  <c r="D468" i="8" l="1"/>
  <c r="R468" i="8"/>
  <c r="Z467" i="8"/>
  <c r="AM467" i="8"/>
  <c r="AL468" i="8" l="1"/>
  <c r="AK468" i="8"/>
  <c r="S468" i="8"/>
  <c r="W468" i="8"/>
  <c r="AJ468" i="8" l="1"/>
  <c r="G468" i="8" l="1"/>
  <c r="F469" i="8" l="1"/>
  <c r="H469" i="8" s="1"/>
  <c r="I468" i="8"/>
  <c r="O468" i="8"/>
  <c r="N469" i="8" l="1"/>
  <c r="K468" i="8"/>
  <c r="J469" i="8" l="1"/>
  <c r="V468" i="8"/>
  <c r="U469" i="8" l="1"/>
  <c r="E468" i="8"/>
  <c r="T468" i="8" l="1"/>
  <c r="AM468" i="8" s="1"/>
  <c r="D469" i="8"/>
  <c r="R469" i="8" l="1"/>
  <c r="Z468" i="8"/>
  <c r="W469" i="8" l="1"/>
  <c r="AK469" i="8"/>
  <c r="AL469" i="8"/>
  <c r="S469" i="8"/>
  <c r="AJ469" i="8" l="1"/>
  <c r="G469" i="8" l="1"/>
  <c r="F470" i="8" l="1"/>
  <c r="H470" i="8" s="1"/>
  <c r="I469" i="8"/>
  <c r="O469" i="8"/>
  <c r="N470" i="8" l="1"/>
  <c r="K469" i="8"/>
  <c r="J470" i="8" l="1"/>
  <c r="V469" i="8"/>
  <c r="U470" i="8" l="1"/>
  <c r="E469" i="8"/>
  <c r="T469" i="8" l="1"/>
  <c r="AM469" i="8" s="1"/>
  <c r="D470" i="8"/>
  <c r="R470" i="8" l="1"/>
  <c r="Z469" i="8"/>
  <c r="AK470" i="8" l="1"/>
  <c r="AL470" i="8"/>
  <c r="S470" i="8"/>
  <c r="W470" i="8"/>
  <c r="AJ470" i="8" l="1"/>
  <c r="G470" i="8" l="1"/>
  <c r="F471" i="8" l="1"/>
  <c r="H471" i="8" s="1"/>
  <c r="I470" i="8"/>
  <c r="O470" i="8"/>
  <c r="N471" i="8" l="1"/>
  <c r="K470" i="8"/>
  <c r="J471" i="8" l="1"/>
  <c r="V470" i="8"/>
  <c r="U471" i="8" l="1"/>
  <c r="E470" i="8"/>
  <c r="T470" i="8" l="1"/>
  <c r="AM470" i="8" s="1"/>
  <c r="D471" i="8"/>
  <c r="R471" i="8" l="1"/>
  <c r="Z470" i="8"/>
  <c r="AK471" i="8" l="1"/>
  <c r="AL471" i="8"/>
  <c r="S471" i="8"/>
  <c r="W471" i="8"/>
  <c r="AJ471" i="8" l="1"/>
  <c r="G471" i="8" l="1"/>
  <c r="F472" i="8" l="1"/>
  <c r="H472" i="8" s="1"/>
  <c r="I471" i="8"/>
  <c r="O471" i="8"/>
  <c r="N472" i="8" l="1"/>
  <c r="K471" i="8"/>
  <c r="J472" i="8" l="1"/>
  <c r="V471" i="8"/>
  <c r="U472" i="8" l="1"/>
  <c r="E471" i="8"/>
  <c r="T471" i="8" l="1"/>
  <c r="AM471" i="8" s="1"/>
  <c r="D472" i="8"/>
  <c r="R472" i="8" l="1"/>
  <c r="Z471" i="8"/>
  <c r="S472" i="8" l="1"/>
  <c r="AJ472" i="8" s="1"/>
  <c r="G472" i="8" s="1"/>
  <c r="O472" i="8" s="1"/>
  <c r="AN472" i="8"/>
  <c r="AL472" i="8" s="1"/>
  <c r="W472" i="8"/>
  <c r="AK472" i="8" l="1"/>
  <c r="N473" i="8"/>
  <c r="K472" i="8"/>
  <c r="AN473" i="8"/>
  <c r="F473" i="8"/>
  <c r="H473" i="8" s="1"/>
  <c r="I472" i="8"/>
  <c r="J473" i="8" l="1"/>
  <c r="V472" i="8"/>
  <c r="AN474" i="8"/>
  <c r="AN475" i="8" l="1"/>
  <c r="U473" i="8"/>
  <c r="E472" i="8"/>
  <c r="T472" i="8" l="1"/>
  <c r="AM472" i="8" s="1"/>
  <c r="D473" i="8"/>
  <c r="AN476" i="8"/>
  <c r="AB465" i="8"/>
  <c r="AB466" i="8" s="1"/>
  <c r="AB467" i="8" s="1"/>
  <c r="AB468" i="8" s="1"/>
  <c r="AB469" i="8" s="1"/>
  <c r="AB470" i="8" s="1"/>
  <c r="AB471" i="8" s="1"/>
  <c r="AB472" i="8" s="1"/>
  <c r="AB473" i="8" s="1"/>
  <c r="AB474" i="8" s="1"/>
  <c r="AB475" i="8" s="1"/>
  <c r="AB476" i="8" s="1"/>
  <c r="R473" i="8" l="1"/>
  <c r="Z472" i="8"/>
  <c r="AK473" i="8" l="1"/>
  <c r="AL473" i="8"/>
  <c r="S473" i="8"/>
  <c r="W473" i="8"/>
  <c r="AJ473" i="8" l="1"/>
  <c r="G473" i="8" l="1"/>
  <c r="O473" i="8" s="1"/>
  <c r="N474" i="8" l="1"/>
  <c r="K473" i="8"/>
  <c r="J474" i="8" s="1"/>
  <c r="F474" i="8"/>
  <c r="H474" i="8" s="1"/>
  <c r="I473" i="8"/>
  <c r="V473" i="8" l="1"/>
  <c r="E473" i="8" s="1"/>
  <c r="U474" i="8" l="1"/>
  <c r="T473" i="8"/>
  <c r="D474" i="8"/>
  <c r="R474" i="8" l="1"/>
  <c r="W474" i="8" s="1"/>
  <c r="Z473" i="8"/>
  <c r="AM473" i="8"/>
  <c r="AK474" i="8" l="1"/>
  <c r="AL474" i="8"/>
  <c r="S474" i="8"/>
  <c r="AJ474" i="8" l="1"/>
  <c r="G474" i="8" l="1"/>
  <c r="F475" i="8" l="1"/>
  <c r="H475" i="8" s="1"/>
  <c r="I474" i="8"/>
  <c r="O474" i="8"/>
  <c r="N475" i="8" l="1"/>
  <c r="K474" i="8"/>
  <c r="J475" i="8" l="1"/>
  <c r="V474" i="8"/>
  <c r="U475" i="8" l="1"/>
  <c r="E474" i="8"/>
  <c r="T474" i="8" l="1"/>
  <c r="AM474" i="8" s="1"/>
  <c r="D475" i="8"/>
  <c r="R475" i="8" l="1"/>
  <c r="Z474" i="8"/>
  <c r="AK475" i="8" l="1"/>
  <c r="AL475" i="8"/>
  <c r="S475" i="8"/>
  <c r="W475" i="8"/>
  <c r="AJ475" i="8" l="1"/>
  <c r="G475" i="8" l="1"/>
  <c r="F476" i="8" l="1"/>
  <c r="H476" i="8" s="1"/>
  <c r="I475" i="8"/>
  <c r="O475" i="8"/>
  <c r="N476" i="8" l="1"/>
  <c r="K475" i="8"/>
  <c r="J476" i="8" l="1"/>
  <c r="V475" i="8"/>
  <c r="U476" i="8" l="1"/>
  <c r="E475" i="8"/>
  <c r="T475" i="8" l="1"/>
  <c r="AM475" i="8" s="1"/>
  <c r="D476" i="8"/>
  <c r="R476" i="8" l="1"/>
  <c r="Z475" i="8"/>
  <c r="AL476" i="8" l="1"/>
  <c r="AK476" i="8"/>
  <c r="S476" i="8"/>
  <c r="W476" i="8"/>
  <c r="AJ476" i="8" l="1"/>
  <c r="G476" i="8" l="1"/>
  <c r="O476" i="8" l="1"/>
  <c r="F477" i="8"/>
  <c r="H477" i="8" s="1"/>
  <c r="I476" i="8"/>
  <c r="N477" i="8" l="1"/>
  <c r="K476" i="8"/>
  <c r="J477" i="8" l="1"/>
  <c r="V476" i="8"/>
  <c r="E476" i="8" l="1"/>
  <c r="U477" i="8"/>
  <c r="T476" i="8" l="1"/>
  <c r="AM476" i="8" s="1"/>
  <c r="D477" i="8"/>
  <c r="R477" i="8" l="1"/>
  <c r="Z476" i="8"/>
  <c r="AA477" i="8" s="1"/>
  <c r="AA478" i="8" s="1"/>
  <c r="AA479" i="8" s="1"/>
  <c r="AA480" i="8" s="1"/>
  <c r="AA481" i="8" s="1"/>
  <c r="AA482" i="8" s="1"/>
  <c r="AA483" i="8" s="1"/>
  <c r="AA484" i="8" s="1"/>
  <c r="AA485" i="8" s="1"/>
  <c r="AA486" i="8" s="1"/>
  <c r="AA487" i="8" s="1"/>
  <c r="AA488" i="8" s="1"/>
  <c r="S477" i="8" l="1"/>
  <c r="AJ477" i="8" s="1"/>
  <c r="W477" i="8"/>
  <c r="AN477" i="8" l="1"/>
  <c r="G477" i="8"/>
  <c r="AK477" i="8" l="1"/>
  <c r="AL477" i="8"/>
  <c r="F478" i="8"/>
  <c r="H478" i="8" s="1"/>
  <c r="I477" i="8"/>
  <c r="O477" i="8"/>
  <c r="AN478" i="8"/>
  <c r="K477" i="8" l="1"/>
  <c r="N478" i="8"/>
  <c r="AN479" i="8"/>
  <c r="J478" i="8" l="1"/>
  <c r="V477" i="8"/>
  <c r="AN480" i="8"/>
  <c r="U478" i="8" l="1"/>
  <c r="E477" i="8"/>
  <c r="AN481" i="8"/>
  <c r="AN482" i="8" l="1"/>
  <c r="AN483" i="8"/>
  <c r="T477" i="8"/>
  <c r="D478" i="8"/>
  <c r="R478" i="8" l="1"/>
  <c r="Z477" i="8"/>
  <c r="AM477" i="8"/>
  <c r="W478" i="8" l="1"/>
  <c r="AK478" i="8"/>
  <c r="AL478" i="8"/>
  <c r="S478" i="8"/>
  <c r="AJ478" i="8" l="1"/>
  <c r="G478" i="8" l="1"/>
  <c r="O478" i="8" s="1"/>
  <c r="N479" i="8" l="1"/>
  <c r="K478" i="8"/>
  <c r="F479" i="8"/>
  <c r="H479" i="8" s="1"/>
  <c r="I478" i="8"/>
  <c r="J479" i="8" l="1"/>
  <c r="V478" i="8"/>
  <c r="U479" i="8" l="1"/>
  <c r="E478" i="8"/>
  <c r="T478" i="8" l="1"/>
  <c r="AM478" i="8" s="1"/>
  <c r="D479" i="8"/>
  <c r="R479" i="8" l="1"/>
  <c r="Z478" i="8"/>
  <c r="AK479" i="8" l="1"/>
  <c r="AL479" i="8"/>
  <c r="S479" i="8"/>
  <c r="W479" i="8"/>
  <c r="AJ479" i="8" l="1"/>
  <c r="G479" i="8" l="1"/>
  <c r="F480" i="8" l="1"/>
  <c r="H480" i="8" s="1"/>
  <c r="I479" i="8"/>
  <c r="O479" i="8"/>
  <c r="N480" i="8" l="1"/>
  <c r="K479" i="8"/>
  <c r="J480" i="8" l="1"/>
  <c r="V479" i="8"/>
  <c r="U480" i="8" l="1"/>
  <c r="E479" i="8"/>
  <c r="T479" i="8" l="1"/>
  <c r="AM479" i="8" s="1"/>
  <c r="D480" i="8"/>
  <c r="R480" i="8" l="1"/>
  <c r="Z479" i="8"/>
  <c r="AL480" i="8" l="1"/>
  <c r="AK480" i="8"/>
  <c r="S480" i="8"/>
  <c r="W480" i="8"/>
  <c r="AJ480" i="8" l="1"/>
  <c r="G480" i="8" l="1"/>
  <c r="F481" i="8" l="1"/>
  <c r="H481" i="8" s="1"/>
  <c r="I480" i="8"/>
  <c r="O480" i="8"/>
  <c r="N481" i="8" l="1"/>
  <c r="K480" i="8"/>
  <c r="J481" i="8" l="1"/>
  <c r="V480" i="8"/>
  <c r="U481" i="8" l="1"/>
  <c r="E480" i="8"/>
  <c r="T480" i="8" l="1"/>
  <c r="AM480" i="8" s="1"/>
  <c r="D481" i="8"/>
  <c r="R481" i="8" l="1"/>
  <c r="Z480" i="8"/>
  <c r="AK481" i="8" l="1"/>
  <c r="AL481" i="8"/>
  <c r="S481" i="8"/>
  <c r="W481" i="8"/>
  <c r="AJ481" i="8" l="1"/>
  <c r="G481" i="8" l="1"/>
  <c r="F482" i="8" l="1"/>
  <c r="H482" i="8" s="1"/>
  <c r="I481" i="8"/>
  <c r="O481" i="8"/>
  <c r="N482" i="8" l="1"/>
  <c r="K481" i="8"/>
  <c r="J482" i="8" l="1"/>
  <c r="V481" i="8"/>
  <c r="U482" i="8" l="1"/>
  <c r="E481" i="8"/>
  <c r="T481" i="8" l="1"/>
  <c r="AM481" i="8" s="1"/>
  <c r="D482" i="8"/>
  <c r="R482" i="8" l="1"/>
  <c r="Z481" i="8"/>
  <c r="AK482" i="8" l="1"/>
  <c r="AL482" i="8"/>
  <c r="S482" i="8"/>
  <c r="W482" i="8"/>
  <c r="AJ482" i="8" l="1"/>
  <c r="G482" i="8" l="1"/>
  <c r="O482" i="8" l="1"/>
  <c r="F483" i="8"/>
  <c r="H483" i="8" s="1"/>
  <c r="I482" i="8"/>
  <c r="N483" i="8" l="1"/>
  <c r="K482" i="8"/>
  <c r="J483" i="8" l="1"/>
  <c r="V482" i="8"/>
  <c r="U483" i="8" l="1"/>
  <c r="E482" i="8"/>
  <c r="T482" i="8" l="1"/>
  <c r="AM482" i="8" s="1"/>
  <c r="D483" i="8"/>
  <c r="R483" i="8" l="1"/>
  <c r="Z482" i="8"/>
  <c r="AK483" i="8" l="1"/>
  <c r="AL483" i="8"/>
  <c r="S483" i="8"/>
  <c r="W483" i="8"/>
  <c r="AJ483" i="8" l="1"/>
  <c r="G483" i="8" l="1"/>
  <c r="F484" i="8" l="1"/>
  <c r="H484" i="8" s="1"/>
  <c r="I483" i="8"/>
  <c r="O483" i="8"/>
  <c r="N484" i="8" l="1"/>
  <c r="K483" i="8"/>
  <c r="J484" i="8" l="1"/>
  <c r="V483" i="8"/>
  <c r="U484" i="8" l="1"/>
  <c r="E483" i="8"/>
  <c r="T483" i="8" l="1"/>
  <c r="AM483" i="8" s="1"/>
  <c r="D484" i="8"/>
  <c r="R484" i="8" l="1"/>
  <c r="Z483" i="8"/>
  <c r="S484" i="8" l="1"/>
  <c r="AJ484" i="8" s="1"/>
  <c r="G484" i="8" s="1"/>
  <c r="O484" i="8" s="1"/>
  <c r="N485" i="8" s="1"/>
  <c r="AN484" i="8"/>
  <c r="AL484" i="8" s="1"/>
  <c r="W484" i="8"/>
  <c r="AK484" i="8" l="1"/>
  <c r="K484" i="8"/>
  <c r="J485" i="8" s="1"/>
  <c r="F485" i="8"/>
  <c r="H485" i="8" s="1"/>
  <c r="I484" i="8"/>
  <c r="AN485" i="8"/>
  <c r="V484" i="8" l="1"/>
  <c r="U485" i="8" s="1"/>
  <c r="AN486" i="8"/>
  <c r="E484" i="8" l="1"/>
  <c r="T484" i="8" s="1"/>
  <c r="AM484" i="8" s="1"/>
  <c r="AN487" i="8"/>
  <c r="D485" i="8" l="1"/>
  <c r="R485" i="8"/>
  <c r="Z484" i="8"/>
  <c r="AN488" i="8"/>
  <c r="AB477" i="8"/>
  <c r="AB478" i="8" s="1"/>
  <c r="AB479" i="8" s="1"/>
  <c r="AB480" i="8" s="1"/>
  <c r="AB481" i="8" s="1"/>
  <c r="AB482" i="8" s="1"/>
  <c r="AB483" i="8" s="1"/>
  <c r="AB484" i="8" s="1"/>
  <c r="AB485" i="8" s="1"/>
  <c r="AB486" i="8" s="1"/>
  <c r="AB487" i="8" s="1"/>
  <c r="AB488" i="8" s="1"/>
  <c r="AK485" i="8" l="1"/>
  <c r="AL485" i="8"/>
  <c r="S485" i="8"/>
  <c r="W485" i="8"/>
  <c r="AJ485" i="8" l="1"/>
  <c r="G485" i="8" l="1"/>
  <c r="O485" i="8" s="1"/>
  <c r="N486" i="8" l="1"/>
  <c r="K485" i="8"/>
  <c r="J486" i="8" s="1"/>
  <c r="F486" i="8"/>
  <c r="H486" i="8" s="1"/>
  <c r="I485" i="8"/>
  <c r="V485" i="8" l="1"/>
  <c r="E485" i="8" s="1"/>
  <c r="U486" i="8" l="1"/>
  <c r="T485" i="8"/>
  <c r="D486" i="8"/>
  <c r="R486" i="8" l="1"/>
  <c r="Z485" i="8"/>
  <c r="AM485" i="8"/>
  <c r="AK486" i="8" l="1"/>
  <c r="AL486" i="8"/>
  <c r="S486" i="8"/>
  <c r="W486" i="8"/>
  <c r="AJ486" i="8" l="1"/>
  <c r="G486" i="8" l="1"/>
  <c r="O486" i="8" s="1"/>
  <c r="N487" i="8" l="1"/>
  <c r="F487" i="8"/>
  <c r="H487" i="8" s="1"/>
  <c r="I486" i="8"/>
  <c r="K486" i="8"/>
  <c r="J487" i="8" l="1"/>
  <c r="V486" i="8"/>
  <c r="U487" i="8" l="1"/>
  <c r="E486" i="8"/>
  <c r="T486" i="8" l="1"/>
  <c r="AM486" i="8" s="1"/>
  <c r="D487" i="8"/>
  <c r="R487" i="8" l="1"/>
  <c r="Z486" i="8"/>
  <c r="AK487" i="8" l="1"/>
  <c r="AL487" i="8"/>
  <c r="S487" i="8"/>
  <c r="W487" i="8"/>
  <c r="AJ487" i="8" l="1"/>
  <c r="G487" i="8" l="1"/>
  <c r="F488" i="8" l="1"/>
  <c r="H488" i="8" s="1"/>
  <c r="I487" i="8"/>
  <c r="O487" i="8"/>
  <c r="N488" i="8" l="1"/>
  <c r="K487" i="8"/>
  <c r="J488" i="8" l="1"/>
  <c r="V487" i="8"/>
  <c r="U488" i="8" l="1"/>
  <c r="E487" i="8"/>
  <c r="T487" i="8" l="1"/>
  <c r="AM487" i="8" s="1"/>
  <c r="D488" i="8"/>
  <c r="R488" i="8" l="1"/>
  <c r="Z487" i="8"/>
  <c r="AL488" i="8" l="1"/>
  <c r="AK488" i="8"/>
  <c r="S488" i="8"/>
  <c r="W488" i="8"/>
  <c r="AJ488" i="8" l="1"/>
  <c r="G488" i="8" l="1"/>
  <c r="F489" i="8" l="1"/>
  <c r="H489" i="8" s="1"/>
  <c r="I488" i="8"/>
  <c r="O488" i="8"/>
  <c r="N489" i="8" l="1"/>
  <c r="K488" i="8"/>
  <c r="J489" i="8" l="1"/>
  <c r="V488" i="8"/>
  <c r="U489" i="8" l="1"/>
  <c r="E488" i="8"/>
  <c r="T488" i="8" l="1"/>
  <c r="AM488" i="8" s="1"/>
  <c r="D489" i="8"/>
  <c r="R489" i="8" l="1"/>
  <c r="Z488" i="8"/>
  <c r="AA489" i="8" s="1"/>
  <c r="AA490" i="8" s="1"/>
  <c r="AA491" i="8" s="1"/>
  <c r="AA492" i="8" s="1"/>
  <c r="AA493" i="8" s="1"/>
  <c r="AA494" i="8" s="1"/>
  <c r="AA495" i="8" s="1"/>
  <c r="AA496" i="8" s="1"/>
  <c r="AA497" i="8" s="1"/>
  <c r="AA498" i="8" s="1"/>
  <c r="AA499" i="8" s="1"/>
  <c r="AA500" i="8" s="1"/>
  <c r="S489" i="8" l="1"/>
  <c r="AJ489" i="8" s="1"/>
  <c r="W489" i="8"/>
  <c r="G489" i="8" l="1"/>
  <c r="I489" i="8" s="1"/>
  <c r="AN489" i="8"/>
  <c r="F490" i="8" l="1"/>
  <c r="H490" i="8" s="1"/>
  <c r="AK489" i="8"/>
  <c r="AL489" i="8"/>
  <c r="O489" i="8"/>
  <c r="N490" i="8" s="1"/>
  <c r="AN490" i="8"/>
  <c r="K489" i="8" l="1"/>
  <c r="J490" i="8" s="1"/>
  <c r="AN491" i="8"/>
  <c r="V489" i="8" l="1"/>
  <c r="U490" i="8" s="1"/>
  <c r="AN492" i="8"/>
  <c r="E489" i="8" l="1"/>
  <c r="T489" i="8" s="1"/>
  <c r="AM489" i="8" s="1"/>
  <c r="AN493" i="8"/>
  <c r="D490" i="8" l="1"/>
  <c r="AN494" i="8"/>
  <c r="R490" i="8"/>
  <c r="Z489" i="8"/>
  <c r="AK490" i="8" l="1"/>
  <c r="AL490" i="8"/>
  <c r="S490" i="8"/>
  <c r="AN495" i="8"/>
  <c r="W490" i="8"/>
  <c r="AJ490" i="8" l="1"/>
  <c r="G490" i="8" l="1"/>
  <c r="O490" i="8" s="1"/>
  <c r="N491" i="8" l="1"/>
  <c r="K490" i="8"/>
  <c r="J491" i="8" s="1"/>
  <c r="F491" i="8"/>
  <c r="H491" i="8" s="1"/>
  <c r="I490" i="8"/>
  <c r="V490" i="8" l="1"/>
  <c r="E490" i="8" s="1"/>
  <c r="U491" i="8" l="1"/>
  <c r="T490" i="8"/>
  <c r="D491" i="8"/>
  <c r="R491" i="8" l="1"/>
  <c r="W491" i="8" s="1"/>
  <c r="Z490" i="8"/>
  <c r="AM490" i="8"/>
  <c r="AK491" i="8" l="1"/>
  <c r="AL491" i="8"/>
  <c r="S491" i="8"/>
  <c r="AJ491" i="8" l="1"/>
  <c r="G491" i="8" l="1"/>
  <c r="F492" i="8" l="1"/>
  <c r="H492" i="8" s="1"/>
  <c r="I491" i="8"/>
  <c r="O491" i="8"/>
  <c r="N492" i="8" l="1"/>
  <c r="K491" i="8"/>
  <c r="J492" i="8" l="1"/>
  <c r="V491" i="8"/>
  <c r="U492" i="8" l="1"/>
  <c r="E491" i="8"/>
  <c r="T491" i="8" l="1"/>
  <c r="AM491" i="8" s="1"/>
  <c r="D492" i="8"/>
  <c r="R492" i="8" l="1"/>
  <c r="Z491" i="8"/>
  <c r="AL492" i="8" l="1"/>
  <c r="AK492" i="8"/>
  <c r="S492" i="8"/>
  <c r="W492" i="8"/>
  <c r="AJ492" i="8" l="1"/>
  <c r="G492" i="8" l="1"/>
  <c r="F493" i="8" l="1"/>
  <c r="H493" i="8" s="1"/>
  <c r="I492" i="8"/>
  <c r="O492" i="8"/>
  <c r="N493" i="8" l="1"/>
  <c r="K492" i="8"/>
  <c r="J493" i="8" l="1"/>
  <c r="V492" i="8"/>
  <c r="U493" i="8" l="1"/>
  <c r="E492" i="8"/>
  <c r="T492" i="8" l="1"/>
  <c r="AM492" i="8" s="1"/>
  <c r="D493" i="8"/>
  <c r="R493" i="8" l="1"/>
  <c r="Z492" i="8"/>
  <c r="AK493" i="8" l="1"/>
  <c r="AL493" i="8"/>
  <c r="S493" i="8"/>
  <c r="W493" i="8"/>
  <c r="AJ493" i="8" l="1"/>
  <c r="G493" i="8" l="1"/>
  <c r="O493" i="8" l="1"/>
  <c r="F494" i="8"/>
  <c r="H494" i="8" s="1"/>
  <c r="I493" i="8"/>
  <c r="N494" i="8" l="1"/>
  <c r="K493" i="8"/>
  <c r="J494" i="8" l="1"/>
  <c r="V493" i="8"/>
  <c r="U494" i="8" l="1"/>
  <c r="E493" i="8"/>
  <c r="T493" i="8" l="1"/>
  <c r="AM493" i="8" s="1"/>
  <c r="D494" i="8"/>
  <c r="R494" i="8" l="1"/>
  <c r="Z493" i="8"/>
  <c r="AK494" i="8" l="1"/>
  <c r="AL494" i="8"/>
  <c r="S494" i="8"/>
  <c r="W494" i="8"/>
  <c r="AJ494" i="8" l="1"/>
  <c r="G494" i="8" l="1"/>
  <c r="F495" i="8" l="1"/>
  <c r="H495" i="8" s="1"/>
  <c r="I494" i="8"/>
  <c r="O494" i="8"/>
  <c r="N495" i="8" l="1"/>
  <c r="K494" i="8"/>
  <c r="J495" i="8" l="1"/>
  <c r="V494" i="8"/>
  <c r="U495" i="8" l="1"/>
  <c r="E494" i="8"/>
  <c r="T494" i="8" l="1"/>
  <c r="AM494" i="8" s="1"/>
  <c r="D495" i="8"/>
  <c r="R495" i="8" l="1"/>
  <c r="Z494" i="8"/>
  <c r="AK495" i="8" l="1"/>
  <c r="AL495" i="8"/>
  <c r="S495" i="8"/>
  <c r="W495" i="8"/>
  <c r="AJ495" i="8" l="1"/>
  <c r="G495" i="8" l="1"/>
  <c r="F496" i="8" l="1"/>
  <c r="H496" i="8" s="1"/>
  <c r="I495" i="8"/>
  <c r="O495" i="8"/>
  <c r="N496" i="8" l="1"/>
  <c r="K495" i="8"/>
  <c r="J496" i="8" l="1"/>
  <c r="V495" i="8"/>
  <c r="U496" i="8" l="1"/>
  <c r="E495" i="8"/>
  <c r="T495" i="8" l="1"/>
  <c r="AM495" i="8" s="1"/>
  <c r="D496" i="8"/>
  <c r="R496" i="8" l="1"/>
  <c r="Z495" i="8"/>
  <c r="S496" i="8" l="1"/>
  <c r="AJ496" i="8" s="1"/>
  <c r="G496" i="8" s="1"/>
  <c r="AN496" i="8"/>
  <c r="AL496" i="8" s="1"/>
  <c r="W496" i="8"/>
  <c r="AK496" i="8" l="1"/>
  <c r="O496" i="8"/>
  <c r="F497" i="8"/>
  <c r="H497" i="8" s="1"/>
  <c r="I496" i="8"/>
  <c r="AN497" i="8"/>
  <c r="AN498" i="8" l="1"/>
  <c r="N497" i="8"/>
  <c r="K496" i="8"/>
  <c r="J497" i="8" l="1"/>
  <c r="V496" i="8"/>
  <c r="AN499" i="8"/>
  <c r="U497" i="8" l="1"/>
  <c r="E496" i="8"/>
  <c r="AN500" i="8"/>
  <c r="AB489" i="8"/>
  <c r="AB490" i="8" s="1"/>
  <c r="AB491" i="8" s="1"/>
  <c r="AB492" i="8" s="1"/>
  <c r="AB493" i="8" s="1"/>
  <c r="AB494" i="8" s="1"/>
  <c r="AB495" i="8" s="1"/>
  <c r="AB496" i="8" s="1"/>
  <c r="AB497" i="8" s="1"/>
  <c r="AB498" i="8" s="1"/>
  <c r="AB499" i="8" s="1"/>
  <c r="AB500" i="8" s="1"/>
  <c r="T496" i="8" l="1"/>
  <c r="AM496" i="8" s="1"/>
  <c r="D497" i="8"/>
  <c r="R497" i="8" l="1"/>
  <c r="Z496" i="8"/>
  <c r="AK497" i="8" l="1"/>
  <c r="AL497" i="8"/>
  <c r="S497" i="8"/>
  <c r="W497" i="8"/>
  <c r="AJ497" i="8" l="1"/>
  <c r="G497" i="8" l="1"/>
  <c r="O497" i="8" l="1"/>
  <c r="F498" i="8"/>
  <c r="H498" i="8" s="1"/>
  <c r="I497" i="8"/>
  <c r="N498" i="8" l="1"/>
  <c r="K497" i="8"/>
  <c r="J498" i="8" l="1"/>
  <c r="V497" i="8"/>
  <c r="U498" i="8" l="1"/>
  <c r="E497" i="8"/>
  <c r="T497" i="8" l="1"/>
  <c r="AM497" i="8" s="1"/>
  <c r="D498" i="8"/>
  <c r="R498" i="8" l="1"/>
  <c r="Z497" i="8"/>
  <c r="AK498" i="8" l="1"/>
  <c r="AL498" i="8"/>
  <c r="S498" i="8"/>
  <c r="W498" i="8"/>
  <c r="AJ498" i="8" l="1"/>
  <c r="G498" i="8" l="1"/>
  <c r="O498" i="8" l="1"/>
  <c r="F499" i="8"/>
  <c r="H499" i="8" s="1"/>
  <c r="I498" i="8"/>
  <c r="N499" i="8" l="1"/>
  <c r="K498" i="8"/>
  <c r="J499" i="8" l="1"/>
  <c r="V498" i="8"/>
  <c r="U499" i="8" l="1"/>
  <c r="E498" i="8"/>
  <c r="T498" i="8" l="1"/>
  <c r="AM498" i="8" s="1"/>
  <c r="D499" i="8"/>
  <c r="R499" i="8" l="1"/>
  <c r="Z498" i="8"/>
  <c r="AK499" i="8" l="1"/>
  <c r="AL499" i="8"/>
  <c r="S499" i="8"/>
  <c r="W499" i="8"/>
  <c r="AJ499" i="8" l="1"/>
  <c r="G499" i="8" l="1"/>
  <c r="F500" i="8" l="1"/>
  <c r="H500" i="8" s="1"/>
  <c r="I499" i="8"/>
  <c r="O499" i="8"/>
  <c r="N500" i="8" l="1"/>
  <c r="K499" i="8"/>
  <c r="J500" i="8" l="1"/>
  <c r="V499" i="8"/>
  <c r="U500" i="8" l="1"/>
  <c r="E499" i="8"/>
  <c r="T499" i="8" l="1"/>
  <c r="D500" i="8"/>
  <c r="R500" i="8" l="1"/>
  <c r="W500" i="8" s="1"/>
  <c r="Z499" i="8"/>
  <c r="AM499" i="8"/>
  <c r="AL500" i="8" l="1"/>
  <c r="AK500" i="8"/>
  <c r="S500" i="8"/>
  <c r="AJ500" i="8" l="1"/>
  <c r="G500" i="8" l="1"/>
  <c r="F501" i="8" l="1"/>
  <c r="H501" i="8" s="1"/>
  <c r="I500" i="8"/>
  <c r="O500" i="8"/>
  <c r="N501" i="8" l="1"/>
  <c r="K500" i="8"/>
  <c r="J501" i="8" l="1"/>
  <c r="V500" i="8"/>
  <c r="U501" i="8" l="1"/>
  <c r="E500" i="8"/>
  <c r="T500" i="8" l="1"/>
  <c r="AM500" i="8" s="1"/>
  <c r="D501" i="8"/>
  <c r="R501" i="8" l="1"/>
  <c r="Z500" i="8"/>
  <c r="AA501" i="8" s="1"/>
  <c r="AA502" i="8" s="1"/>
  <c r="AA503" i="8" s="1"/>
  <c r="AA504" i="8" s="1"/>
  <c r="AA505" i="8" s="1"/>
  <c r="AB501" i="8" l="1"/>
  <c r="AN501" i="8"/>
  <c r="AK501" i="8" s="1"/>
  <c r="S501" i="8"/>
  <c r="AJ501" i="8" s="1"/>
  <c r="G501" i="8" s="1"/>
  <c r="W501" i="8"/>
  <c r="AB502" i="8" l="1"/>
  <c r="AL501" i="8"/>
  <c r="O501" i="8"/>
  <c r="N502" i="8" s="1"/>
  <c r="AN502" i="8"/>
  <c r="F502" i="8"/>
  <c r="H502" i="8" s="1"/>
  <c r="I501" i="8"/>
  <c r="AB503" i="8" l="1"/>
  <c r="AN503" i="8"/>
  <c r="K501" i="8"/>
  <c r="AB505" i="8" l="1"/>
  <c r="AB504" i="8"/>
  <c r="AN504" i="8"/>
  <c r="J502" i="8"/>
  <c r="V501" i="8"/>
  <c r="AN505" i="8" l="1"/>
  <c r="E63" i="7"/>
  <c r="E59" i="7"/>
  <c r="U502" i="8"/>
  <c r="E501" i="8"/>
  <c r="T501" i="8" l="1"/>
  <c r="AM501" i="8" s="1"/>
  <c r="D502" i="8"/>
  <c r="R502" i="8" l="1"/>
  <c r="Z501" i="8"/>
  <c r="AK502" i="8" l="1"/>
  <c r="AL502" i="8"/>
  <c r="S502" i="8"/>
  <c r="W502" i="8"/>
  <c r="AJ502" i="8" l="1"/>
  <c r="G502" i="8" l="1"/>
  <c r="O502" i="8" l="1"/>
  <c r="F503" i="8"/>
  <c r="H503" i="8" s="1"/>
  <c r="I502" i="8"/>
  <c r="N503" i="8" l="1"/>
  <c r="K502" i="8"/>
  <c r="J503" i="8" l="1"/>
  <c r="V502" i="8"/>
  <c r="U503" i="8" l="1"/>
  <c r="E502" i="8"/>
  <c r="T502" i="8" l="1"/>
  <c r="AM502" i="8" s="1"/>
  <c r="D503" i="8"/>
  <c r="R503" i="8" l="1"/>
  <c r="Z502" i="8"/>
  <c r="AK503" i="8" l="1"/>
  <c r="AL503" i="8"/>
  <c r="S503" i="8"/>
  <c r="W503" i="8"/>
  <c r="AJ503" i="8" l="1"/>
  <c r="G503" i="8" l="1"/>
  <c r="O503" i="8" s="1"/>
  <c r="N504" i="8" l="1"/>
  <c r="K503" i="8"/>
  <c r="F504" i="8"/>
  <c r="H504" i="8" s="1"/>
  <c r="I503" i="8"/>
  <c r="J504" i="8" l="1"/>
  <c r="V503" i="8"/>
  <c r="U504" i="8" l="1"/>
  <c r="E503" i="8"/>
  <c r="T503" i="8" l="1"/>
  <c r="AM503" i="8" s="1"/>
  <c r="D504" i="8"/>
  <c r="R504" i="8" l="1"/>
  <c r="Z503" i="8"/>
  <c r="AL504" i="8" l="1"/>
  <c r="AK504" i="8"/>
  <c r="S504" i="8"/>
  <c r="W504" i="8"/>
  <c r="AJ504" i="8" l="1"/>
  <c r="G504" i="8" l="1"/>
  <c r="F505" i="8" l="1"/>
  <c r="H505" i="8" s="1"/>
  <c r="I504" i="8"/>
  <c r="O504" i="8"/>
  <c r="N505" i="8" l="1"/>
  <c r="E47" i="7" s="1"/>
  <c r="K504" i="8"/>
  <c r="J505" i="8" l="1"/>
  <c r="V504" i="8"/>
  <c r="U505" i="8" l="1"/>
  <c r="E50" i="7" s="1"/>
  <c r="E504" i="8"/>
  <c r="T504" i="8" l="1"/>
  <c r="AM504" i="8" s="1"/>
  <c r="D505" i="8"/>
  <c r="E48" i="7" l="1"/>
  <c r="R505" i="8"/>
  <c r="Z504" i="8"/>
  <c r="AK505" i="8" l="1"/>
  <c r="D52" i="7" s="1"/>
  <c r="AL505" i="8"/>
  <c r="D53" i="7" s="1"/>
  <c r="E49" i="7"/>
  <c r="S505" i="8"/>
  <c r="W505" i="8"/>
  <c r="E44" i="7" s="1"/>
  <c r="AJ505" i="8" l="1"/>
  <c r="AJ506" i="8" l="1"/>
  <c r="E61" i="7" s="1"/>
  <c r="G505" i="8"/>
  <c r="O505" i="8" l="1"/>
  <c r="I505" i="8"/>
  <c r="I506" i="8" s="1"/>
  <c r="E52" i="7" s="1"/>
  <c r="K505" i="8" l="1"/>
  <c r="V505" i="8" s="1"/>
  <c r="E505" i="8" s="1"/>
  <c r="T505" i="8" s="1"/>
  <c r="AM505" i="8" l="1"/>
  <c r="Z505" i="8"/>
</calcChain>
</file>

<file path=xl/comments1.xml><?xml version="1.0" encoding="utf-8"?>
<comments xmlns="http://schemas.openxmlformats.org/spreadsheetml/2006/main">
  <authors>
    <author>Gene Roberts</author>
  </authors>
  <commentList>
    <comment ref="B7" authorId="0">
      <text>
        <r>
          <rPr>
            <b/>
            <sz val="9"/>
            <color indexed="81"/>
            <rFont val="Tahoma"/>
            <family val="2"/>
          </rPr>
          <t>Gene Roberts:</t>
        </r>
        <r>
          <rPr>
            <sz val="9"/>
            <color indexed="81"/>
            <rFont val="Tahoma"/>
            <family val="2"/>
          </rPr>
          <t xml:space="preserve">
This budget is slightly padded.
The one I operate off of now is only $36,000/yr.  And that one has my $1287/mo mortgage includded. It also doen't have spending money factored in, but I only have about $800/mo spending money now.</t>
        </r>
      </text>
    </comment>
    <comment ref="T7" authorId="0">
      <text>
        <r>
          <rPr>
            <b/>
            <sz val="9"/>
            <color indexed="81"/>
            <rFont val="Tahoma"/>
            <family val="2"/>
          </rPr>
          <t>Gene Roberts:</t>
        </r>
        <r>
          <rPr>
            <sz val="9"/>
            <color indexed="81"/>
            <rFont val="Tahoma"/>
            <family val="2"/>
          </rPr>
          <t xml:space="preserve">
Actual results are entered overwriting the calculated projections and then colored Purple. This is the history of the accounts.</t>
        </r>
      </text>
    </comment>
    <comment ref="H9" authorId="0">
      <text>
        <r>
          <rPr>
            <b/>
            <sz val="9"/>
            <color indexed="81"/>
            <rFont val="Tahoma"/>
            <family val="2"/>
          </rPr>
          <t>Gene Roberts:</t>
        </r>
        <r>
          <rPr>
            <sz val="9"/>
            <color indexed="81"/>
            <rFont val="Tahoma"/>
            <family val="2"/>
          </rPr>
          <t xml:space="preserve">
Currently have $10,000/year (post-tax) earmarked for envestment. (plus H.S.A.)
Will max out Roth IRA then put the rest into Brokerage.</t>
        </r>
      </text>
    </comment>
    <comment ref="P9" authorId="0">
      <text>
        <r>
          <rPr>
            <b/>
            <sz val="9"/>
            <color indexed="81"/>
            <rFont val="Tahoma"/>
            <family val="2"/>
          </rPr>
          <t>Gene Roberts:</t>
        </r>
        <r>
          <rPr>
            <sz val="9"/>
            <color indexed="81"/>
            <rFont val="Tahoma"/>
            <family val="2"/>
          </rPr>
          <t xml:space="preserve">
Maximizing my contributions to Roth IRA for use as emergency fund and budget expenses in early retirment prior to age 59.5
</t>
        </r>
      </text>
    </comment>
    <comment ref="T9" authorId="0">
      <text>
        <r>
          <rPr>
            <b/>
            <sz val="9"/>
            <color indexed="81"/>
            <rFont val="Tahoma"/>
            <family val="2"/>
          </rPr>
          <t>Gene Roberts:</t>
        </r>
        <r>
          <rPr>
            <sz val="9"/>
            <color indexed="81"/>
            <rFont val="Tahoma"/>
            <family val="2"/>
          </rPr>
          <t xml:space="preserve">
Employer contribution portion of my 401K.</t>
        </r>
      </text>
    </comment>
    <comment ref="U9" authorId="0">
      <text>
        <r>
          <rPr>
            <b/>
            <sz val="9"/>
            <color indexed="81"/>
            <rFont val="Tahoma"/>
            <family val="2"/>
          </rPr>
          <t>Gene Roberts:</t>
        </r>
        <r>
          <rPr>
            <sz val="9"/>
            <color indexed="81"/>
            <rFont val="Tahoma"/>
            <family val="2"/>
          </rPr>
          <t xml:space="preserve">
SERMA credits are from my employer's retirement plan. Earned at a rate of $1500/year worked after I qualify for retirement.
Will count once I meet the "Rule of 75" for retirement. SERMA credits don't grow in value.</t>
        </r>
      </text>
    </comment>
    <comment ref="V9" authorId="0">
      <text>
        <r>
          <rPr>
            <b/>
            <sz val="9"/>
            <color indexed="81"/>
            <rFont val="Tahoma"/>
            <family val="2"/>
          </rPr>
          <t>Gene Roberts:</t>
        </r>
        <r>
          <rPr>
            <sz val="9"/>
            <color indexed="81"/>
            <rFont val="Tahoma"/>
            <family val="2"/>
          </rPr>
          <t xml:space="preserve">
Health Savings Account
I contribute the maximum every year and don't spend anything out of it. I think it will come in handy down the road. </t>
        </r>
      </text>
    </comment>
    <comment ref="AA10" authorId="0">
      <text>
        <r>
          <rPr>
            <b/>
            <sz val="9"/>
            <color indexed="81"/>
            <rFont val="Tahoma"/>
            <family val="2"/>
          </rPr>
          <t>Gene Roberts:</t>
        </r>
        <r>
          <rPr>
            <sz val="9"/>
            <color indexed="81"/>
            <rFont val="Tahoma"/>
            <family val="2"/>
          </rPr>
          <t xml:space="preserve">
This row just finds the row where the date is current.</t>
        </r>
      </text>
    </comment>
    <comment ref="H13" authorId="0">
      <text>
        <r>
          <rPr>
            <b/>
            <sz val="9"/>
            <color indexed="81"/>
            <rFont val="Tahoma"/>
            <family val="2"/>
          </rPr>
          <t>Gene Roberts:</t>
        </r>
        <r>
          <rPr>
            <sz val="9"/>
            <color indexed="81"/>
            <rFont val="Tahoma"/>
            <family val="2"/>
          </rPr>
          <t xml:space="preserve">
Max = $5500 to age 50
after 50, Max = $6500</t>
        </r>
      </text>
    </comment>
    <comment ref="H14" authorId="0">
      <text>
        <r>
          <rPr>
            <b/>
            <sz val="9"/>
            <color indexed="81"/>
            <rFont val="Tahoma"/>
            <family val="2"/>
          </rPr>
          <t>Gene Roberts:</t>
        </r>
        <r>
          <rPr>
            <sz val="9"/>
            <color indexed="81"/>
            <rFont val="Tahoma"/>
            <family val="2"/>
          </rPr>
          <t xml:space="preserve">
Was to be $10,000/yr minus Roth IRA contribution.
Changed plans to generate more post-tax investments to pay for retirement expenses pre-59.5
Will put no more money into Traditional IRA or 401K</t>
        </r>
      </text>
    </comment>
    <comment ref="H18" authorId="0">
      <text>
        <r>
          <rPr>
            <b/>
            <sz val="9"/>
            <color indexed="81"/>
            <rFont val="Tahoma"/>
            <family val="2"/>
          </rPr>
          <t>Gene Roberts:</t>
        </r>
        <r>
          <rPr>
            <sz val="9"/>
            <color indexed="81"/>
            <rFont val="Tahoma"/>
            <family val="2"/>
          </rPr>
          <t xml:space="preserve">
Employer contribution for Retirment for MED:
$1500/yr of service</t>
        </r>
      </text>
    </comment>
    <comment ref="H20" authorId="0">
      <text>
        <r>
          <rPr>
            <b/>
            <sz val="9"/>
            <color indexed="81"/>
            <rFont val="Tahoma"/>
            <family val="2"/>
          </rPr>
          <t>Gene Roberts:</t>
        </r>
        <r>
          <rPr>
            <sz val="9"/>
            <color indexed="81"/>
            <rFont val="Tahoma"/>
            <family val="2"/>
          </rPr>
          <t xml:space="preserve">
Currently, I am paying $212 ahead on mortgage pricipal every month.
Will model putting this extra towards brokerage account instead.
Comes to 2550/yr
At 7% APR, putting the extra towards the brokerage account gains me $12,800 over paying the mortgage off early and then pocketing the mortgage money I would have been paying.
Payoff on morgage paying normally now will be 7/1/2027.
If I retire earlier than this, I will have to continue paying mortage for a short time in retirement. (2yrs - give or take)</t>
        </r>
      </text>
    </comment>
    <comment ref="H23" authorId="0">
      <text>
        <r>
          <rPr>
            <b/>
            <sz val="9"/>
            <color indexed="81"/>
            <rFont val="Tahoma"/>
            <family val="2"/>
          </rPr>
          <t>Gene Roberts:</t>
        </r>
        <r>
          <rPr>
            <sz val="9"/>
            <color indexed="81"/>
            <rFont val="Tahoma"/>
            <family val="2"/>
          </rPr>
          <t xml:space="preserve">
The S&amp;P 500 100 year compound annual growth rate annualized without inflation included is 10%.
Using an assumption based on this rate will give results that should represent the actual balances in the retirement accounts at retirement (allthough they will be inflated).  With the budget being updated periodically and just prior to retirement, the starting expenses at retirement will already be adjusted for inflation.</t>
        </r>
      </text>
    </comment>
    <comment ref="H24" authorId="0">
      <text>
        <r>
          <rPr>
            <b/>
            <sz val="9"/>
            <color indexed="81"/>
            <rFont val="Tahoma"/>
            <family val="2"/>
          </rPr>
          <t>Gene Roberts:</t>
        </r>
        <r>
          <rPr>
            <sz val="9"/>
            <color indexed="81"/>
            <rFont val="Tahoma"/>
            <family val="2"/>
          </rPr>
          <t xml:space="preserve">
Annual inflation rate is applied to budget expenses after retirement.  Assumption is that the Retirement Budget to the left will be updated periodically and just prior to retirement.</t>
        </r>
      </text>
    </comment>
    <comment ref="Y24" authorId="0">
      <text>
        <r>
          <rPr>
            <b/>
            <sz val="9"/>
            <color indexed="81"/>
            <rFont val="Tahoma"/>
            <family val="2"/>
          </rPr>
          <t>Gene Roberts:</t>
        </r>
        <r>
          <rPr>
            <sz val="9"/>
            <color indexed="81"/>
            <rFont val="Tahoma"/>
            <family val="2"/>
          </rPr>
          <t xml:space="preserve">
This Column returns the Row # associated with the year of retirement.  It will be used in the next sheet to transfer the balances of retirement accounts on the date of retirement.</t>
        </r>
      </text>
    </comment>
    <comment ref="H25" authorId="0">
      <text>
        <r>
          <rPr>
            <b/>
            <sz val="9"/>
            <color indexed="81"/>
            <rFont val="Tahoma"/>
            <family val="2"/>
          </rPr>
          <t>Gene Roberts:</t>
        </r>
        <r>
          <rPr>
            <sz val="9"/>
            <color indexed="81"/>
            <rFont val="Tahoma"/>
            <family val="2"/>
          </rPr>
          <t xml:space="preserve">
Using 72t rule I plan to roll over a portion of my Trad 401K into my Trad IRA account and set it up for a rule 72t distribution if I retire earlier than age 55.
Calculation for amount to be transfered will be based on required minimum distribution rules.</t>
        </r>
      </text>
    </comment>
    <comment ref="Z25" authorId="0">
      <text>
        <r>
          <rPr>
            <b/>
            <sz val="9"/>
            <color indexed="81"/>
            <rFont val="Tahoma"/>
            <family val="2"/>
          </rPr>
          <t>Gene Roberts:</t>
        </r>
        <r>
          <rPr>
            <sz val="9"/>
            <color indexed="81"/>
            <rFont val="Tahoma"/>
            <family val="2"/>
          </rPr>
          <t xml:space="preserve">
May convert some gold and silver holdings to add to brokerage account. Approx $19,500</t>
        </r>
      </text>
    </comment>
    <comment ref="H26" authorId="0">
      <text>
        <r>
          <rPr>
            <b/>
            <sz val="9"/>
            <color indexed="81"/>
            <rFont val="Tahoma"/>
            <family val="2"/>
          </rPr>
          <t>Gene Roberts:</t>
        </r>
        <r>
          <rPr>
            <sz val="9"/>
            <color indexed="81"/>
            <rFont val="Tahoma"/>
            <family val="2"/>
          </rPr>
          <t xml:space="preserve">
only applies if I retire at an age less than 55.</t>
        </r>
      </text>
    </comment>
    <comment ref="J26" authorId="0">
      <text>
        <r>
          <rPr>
            <b/>
            <sz val="9"/>
            <color indexed="81"/>
            <rFont val="Tahoma"/>
            <family val="2"/>
          </rPr>
          <t>Gene Roberts:</t>
        </r>
        <r>
          <rPr>
            <sz val="9"/>
            <color indexed="81"/>
            <rFont val="Tahoma"/>
            <family val="2"/>
          </rPr>
          <t xml:space="preserve">
If this cell iis colored red, it means that I don't have enough in my Pre-tax 401K to roll into my IRA to set up a 72t that will support my needed monthly withdrawal based on required minimum distribution rules for the specified retirement date.
It is only applicable if I retire prior to age 55.</t>
        </r>
      </text>
    </comment>
    <comment ref="B29" authorId="0">
      <text>
        <r>
          <rPr>
            <b/>
            <sz val="9"/>
            <color indexed="81"/>
            <rFont val="Tahoma"/>
            <family val="2"/>
          </rPr>
          <t>Gene Roberts:</t>
        </r>
        <r>
          <rPr>
            <sz val="9"/>
            <color indexed="81"/>
            <rFont val="Tahoma"/>
            <family val="2"/>
          </rPr>
          <t xml:space="preserve">
$2000/year towards Car Mantenance and new purchase</t>
        </r>
      </text>
    </comment>
    <comment ref="H29" authorId="0">
      <text>
        <r>
          <rPr>
            <b/>
            <sz val="9"/>
            <color indexed="81"/>
            <rFont val="Tahoma"/>
            <family val="2"/>
          </rPr>
          <t>Gene Roberts:</t>
        </r>
        <r>
          <rPr>
            <sz val="9"/>
            <color indexed="81"/>
            <rFont val="Tahoma"/>
            <family val="2"/>
          </rPr>
          <t xml:space="preserve">
To estimate this cost, I researched insurance for a 55 year old and a 65 year old.  I took the average of the two to estimate the cost of the premiums until medicare kicks in.  Both plans have a max OOP of $3500.</t>
        </r>
      </text>
    </comment>
    <comment ref="J29" authorId="0">
      <text>
        <r>
          <rPr>
            <b/>
            <sz val="9"/>
            <color indexed="81"/>
            <rFont val="Tahoma"/>
            <family val="2"/>
          </rPr>
          <t>Gene Roberts:</t>
        </r>
        <r>
          <rPr>
            <sz val="9"/>
            <color indexed="81"/>
            <rFont val="Tahoma"/>
            <family val="2"/>
          </rPr>
          <t xml:space="preserve">
It is unlikely that I will max-out my OOP every year, so $3500 is conservative.</t>
        </r>
      </text>
    </comment>
    <comment ref="H31" authorId="0">
      <text>
        <r>
          <rPr>
            <b/>
            <sz val="9"/>
            <color indexed="81"/>
            <rFont val="Tahoma"/>
            <family val="2"/>
          </rPr>
          <t>Gene Roberts:</t>
        </r>
        <r>
          <rPr>
            <sz val="9"/>
            <color indexed="81"/>
            <rFont val="Tahoma"/>
            <family val="2"/>
          </rPr>
          <t xml:space="preserve">
Some MediGAP policies cover Dental and Vision.  Will have to verify so as not to double up on coverage.</t>
        </r>
      </text>
    </comment>
    <comment ref="J31" authorId="0">
      <text>
        <r>
          <rPr>
            <b/>
            <sz val="9"/>
            <color indexed="81"/>
            <rFont val="Tahoma"/>
            <family val="2"/>
          </rPr>
          <t>Gene Roberts:</t>
        </r>
        <r>
          <rPr>
            <sz val="9"/>
            <color indexed="81"/>
            <rFont val="Tahoma"/>
            <family val="2"/>
          </rPr>
          <t xml:space="preserve">
Est. $400 Dental
Est $300 Vision</t>
        </r>
      </text>
    </comment>
    <comment ref="J32" authorId="0">
      <text>
        <r>
          <rPr>
            <b/>
            <sz val="9"/>
            <color indexed="81"/>
            <rFont val="Tahoma"/>
            <family val="2"/>
          </rPr>
          <t>Gene Roberts:</t>
        </r>
        <r>
          <rPr>
            <sz val="9"/>
            <color indexed="81"/>
            <rFont val="Tahoma"/>
            <family val="2"/>
          </rPr>
          <t xml:space="preserve">
Est $500 Dental
Est $300 Vision</t>
        </r>
      </text>
    </comment>
    <comment ref="H35" authorId="0">
      <text>
        <r>
          <rPr>
            <b/>
            <sz val="9"/>
            <color indexed="81"/>
            <rFont val="Tahoma"/>
            <family val="2"/>
          </rPr>
          <t>Gene Roberts:</t>
        </r>
        <r>
          <rPr>
            <sz val="9"/>
            <color indexed="81"/>
            <rFont val="Tahoma"/>
            <family val="2"/>
          </rPr>
          <t xml:space="preserve">
Used personal data from SSA and their program to calculate SS Benefits based on stopping working at age 57 and starting benefits at 62, 65, and 70.</t>
        </r>
      </text>
    </comment>
    <comment ref="H38" authorId="0">
      <text>
        <r>
          <rPr>
            <b/>
            <sz val="9"/>
            <color indexed="81"/>
            <rFont val="Tahoma"/>
            <family val="2"/>
          </rPr>
          <t>Gene Roberts:</t>
        </r>
        <r>
          <rPr>
            <sz val="9"/>
            <color indexed="81"/>
            <rFont val="Tahoma"/>
            <family val="2"/>
          </rPr>
          <t xml:space="preserve">
% of Social Security Benefits received.
SSA estimates that if SS is not "fixed" Future recipients will only receive 80% of current projections.</t>
        </r>
      </text>
    </comment>
    <comment ref="B39" authorId="0">
      <text>
        <r>
          <rPr>
            <b/>
            <sz val="9"/>
            <color indexed="81"/>
            <rFont val="Tahoma"/>
            <family val="2"/>
          </rPr>
          <t>Gene Roberts:</t>
        </r>
        <r>
          <rPr>
            <sz val="9"/>
            <color indexed="81"/>
            <rFont val="Tahoma"/>
            <family val="2"/>
          </rPr>
          <t xml:space="preserve">
Industry Standard for "safe" withdrawal rate of 4%.  Basically, annual retirement budget times 25.</t>
        </r>
      </text>
    </comment>
    <comment ref="F39" authorId="0">
      <text>
        <r>
          <rPr>
            <b/>
            <sz val="9"/>
            <color indexed="81"/>
            <rFont val="Tahoma"/>
            <family val="2"/>
          </rPr>
          <t>Gene Roberts:</t>
        </r>
        <r>
          <rPr>
            <sz val="9"/>
            <color indexed="81"/>
            <rFont val="Tahoma"/>
            <family val="2"/>
          </rPr>
          <t xml:space="preserve">
Used the inflated budget expenses at beginning of drawdown.</t>
        </r>
      </text>
    </comment>
    <comment ref="H39" authorId="0">
      <text>
        <r>
          <rPr>
            <b/>
            <sz val="9"/>
            <color indexed="81"/>
            <rFont val="Tahoma"/>
            <family val="2"/>
          </rPr>
          <t>Gene Roberts:</t>
        </r>
        <r>
          <rPr>
            <sz val="9"/>
            <color indexed="81"/>
            <rFont val="Tahoma"/>
            <family val="2"/>
          </rPr>
          <t xml:space="preserve">
Estimates for Medicare Expenses are taken from article by AARP.  GAP reported to be about $2200/year.  Total for Parts A, B, and D reported to be about $3100/yr.</t>
        </r>
      </text>
    </comment>
    <comment ref="H41" authorId="0">
      <text>
        <r>
          <rPr>
            <b/>
            <sz val="9"/>
            <color indexed="81"/>
            <rFont val="Tahoma"/>
            <family val="2"/>
          </rPr>
          <t>Gene Roberts:</t>
        </r>
        <r>
          <rPr>
            <sz val="9"/>
            <color indexed="81"/>
            <rFont val="Tahoma"/>
            <family val="2"/>
          </rPr>
          <t xml:space="preserve">
Maximum out of pocket for Medicare with GAP policy is $6700</t>
        </r>
      </text>
    </comment>
    <comment ref="H44" authorId="0">
      <text>
        <r>
          <rPr>
            <b/>
            <sz val="9"/>
            <color indexed="81"/>
            <rFont val="Tahoma"/>
            <family val="2"/>
          </rPr>
          <t>Gene Roberts:</t>
        </r>
        <r>
          <rPr>
            <sz val="9"/>
            <color indexed="81"/>
            <rFont val="Tahoma"/>
            <family val="2"/>
          </rPr>
          <t xml:space="preserve">
Percentage of $$ to be withdrawn from taxable accounts such as traditional IRA, 401K and Employer portion of 401K.
Remainder will come from Roth accounts until they are depleted.
Will vary this percentage to obtain lowest overal tax burden, while also keeping as much flexibility for big ticket purchases without adversely affecting that years tax bill.</t>
        </r>
      </text>
    </comment>
    <comment ref="H45" authorId="0">
      <text>
        <r>
          <rPr>
            <b/>
            <sz val="9"/>
            <color indexed="81"/>
            <rFont val="Tahoma"/>
            <family val="2"/>
          </rPr>
          <t>Gene Roberts:</t>
        </r>
        <r>
          <rPr>
            <sz val="9"/>
            <color indexed="81"/>
            <rFont val="Tahoma"/>
            <family val="2"/>
          </rPr>
          <t xml:space="preserve">
Allows balancing withdrawals from Roth IRA deposits and Brokerage account to prevent exceeding amount of Roth IRA deposits prior to age 59.5</t>
        </r>
      </text>
    </comment>
    <comment ref="H46" authorId="0">
      <text>
        <r>
          <rPr>
            <b/>
            <sz val="9"/>
            <color indexed="81"/>
            <rFont val="Tahoma"/>
            <family val="2"/>
          </rPr>
          <t>Gene Roberts:</t>
        </r>
        <r>
          <rPr>
            <sz val="9"/>
            <color indexed="81"/>
            <rFont val="Tahoma"/>
            <family val="2"/>
          </rPr>
          <t xml:space="preserve">
Long Term Capital Gains and Qualified Dividends will likely be taxed at the 15% rate based on my tax bracket for most of my retirement.
My tax bracket will be 25-33% so say 28% on average. So 15% is a little more than half of 28%, therefore if I count a little more than half of my withdrawals from my brokerage account (say about 55%) as taxable, I would essentially be making the treatment equivalent.</t>
        </r>
      </text>
    </comment>
    <comment ref="C49" authorId="0">
      <text>
        <r>
          <rPr>
            <b/>
            <sz val="9"/>
            <color indexed="81"/>
            <rFont val="Tahoma"/>
            <family val="2"/>
          </rPr>
          <t>Gene Roberts:</t>
        </r>
        <r>
          <rPr>
            <sz val="9"/>
            <color indexed="81"/>
            <rFont val="Tahoma"/>
            <family val="2"/>
          </rPr>
          <t xml:space="preserve">
If needed, the H.S.A. will have sufficient funds to pay for long term care insurance.</t>
        </r>
      </text>
    </comment>
    <comment ref="E52" authorId="0">
      <text>
        <r>
          <rPr>
            <b/>
            <sz val="9"/>
            <color indexed="81"/>
            <rFont val="Tahoma"/>
            <family val="2"/>
          </rPr>
          <t>Gene Roberts:</t>
        </r>
        <r>
          <rPr>
            <sz val="9"/>
            <color indexed="81"/>
            <rFont val="Tahoma"/>
            <family val="2"/>
          </rPr>
          <t xml:space="preserve">
Tests to see if Required Minimum Distribution rules on Traditional IRA are violated.
I must "tune" percentage of drawdown from taxable to avoid RMD penalties.</t>
        </r>
      </text>
    </comment>
    <comment ref="B55" authorId="0">
      <text>
        <r>
          <rPr>
            <b/>
            <sz val="9"/>
            <color indexed="81"/>
            <rFont val="Tahoma"/>
            <family val="2"/>
          </rPr>
          <t>Gene Roberts:</t>
        </r>
        <r>
          <rPr>
            <sz val="9"/>
            <color indexed="81"/>
            <rFont val="Tahoma"/>
            <family val="2"/>
          </rPr>
          <t xml:space="preserve">
Plan is to use the Roth deposits to cover my budget prior to reaching age 59.5 
If I retire prior to approximately age 57, I will need to secure alternate funding to prevent tax penalties for early withdrawal.
Will use brokerage account to prevent withdrawing more from Roth IRA than contributions.</t>
        </r>
      </text>
    </comment>
    <comment ref="E59" authorId="0">
      <text>
        <r>
          <rPr>
            <b/>
            <sz val="9"/>
            <color indexed="81"/>
            <rFont val="Tahoma"/>
            <family val="2"/>
          </rPr>
          <t>Gene Roberts:</t>
        </r>
        <r>
          <rPr>
            <sz val="9"/>
            <color indexed="81"/>
            <rFont val="Tahoma"/>
            <family val="2"/>
          </rPr>
          <t xml:space="preserve">
Taxes now combine Arizona State and Federal Income Tax.</t>
        </r>
      </text>
    </comment>
    <comment ref="H63" authorId="0">
      <text>
        <r>
          <rPr>
            <b/>
            <sz val="9"/>
            <color indexed="81"/>
            <rFont val="Tahoma"/>
            <family val="2"/>
          </rPr>
          <t>Gene Roberts:</t>
        </r>
        <r>
          <rPr>
            <sz val="9"/>
            <color indexed="81"/>
            <rFont val="Tahoma"/>
            <family val="2"/>
          </rPr>
          <t xml:space="preserve">
My retirement income from Traditional 401k withdrawals plus one half my SS will always be more than $34,000 
SS benfits will always be 85% taxable.</t>
        </r>
      </text>
    </comment>
    <comment ref="M103" authorId="0">
      <text>
        <r>
          <rPr>
            <b/>
            <sz val="9"/>
            <color indexed="81"/>
            <rFont val="Tahoma"/>
            <family val="2"/>
          </rPr>
          <t>Gene Roberts:</t>
        </r>
        <r>
          <rPr>
            <sz val="9"/>
            <color indexed="81"/>
            <rFont val="Tahoma"/>
            <family val="2"/>
          </rPr>
          <t xml:space="preserve">
Meets "Rule of 75" for Retirement. Earliest I can retire and still receive SERMA credits from employer.</t>
        </r>
      </text>
    </comment>
    <comment ref="U103" authorId="0">
      <text>
        <r>
          <rPr>
            <b/>
            <sz val="9"/>
            <color indexed="81"/>
            <rFont val="Tahoma"/>
            <family val="2"/>
          </rPr>
          <t>Gene Roberts:</t>
        </r>
        <r>
          <rPr>
            <sz val="9"/>
            <color indexed="81"/>
            <rFont val="Tahoma"/>
            <family val="2"/>
          </rPr>
          <t xml:space="preserve">
SERMA now counted towards Retirement.
Rule of 75 is met.</t>
        </r>
      </text>
    </comment>
    <comment ref="F205" authorId="0">
      <text>
        <r>
          <rPr>
            <b/>
            <sz val="9"/>
            <color indexed="81"/>
            <rFont val="Tahoma"/>
            <family val="2"/>
          </rPr>
          <t>Gene Roberts:</t>
        </r>
        <r>
          <rPr>
            <sz val="9"/>
            <color indexed="81"/>
            <rFont val="Tahoma"/>
            <family val="2"/>
          </rPr>
          <t xml:space="preserve">
The requred beginning balance of the Traditional IRA account needed to generate the specified required minimum distribution for the 72t rule if I retire prior to age 55.</t>
        </r>
      </text>
    </comment>
  </commentList>
</comments>
</file>

<file path=xl/comments2.xml><?xml version="1.0" encoding="utf-8"?>
<comments xmlns="http://schemas.openxmlformats.org/spreadsheetml/2006/main">
  <authors>
    <author>Gene Roberts</author>
  </authors>
  <commentList>
    <comment ref="D8" authorId="0">
      <text>
        <r>
          <rPr>
            <b/>
            <sz val="9"/>
            <color indexed="81"/>
            <rFont val="Tahoma"/>
            <family val="2"/>
          </rPr>
          <t>Gene Roberts:</t>
        </r>
        <r>
          <rPr>
            <sz val="9"/>
            <color indexed="81"/>
            <rFont val="Tahoma"/>
            <family val="2"/>
          </rPr>
          <t xml:space="preserve">
Will be prioritized to withdraw expenses out of prior to age 59.5
Deposit amounts may be removed before age 59.5 without any tax or penalty since they are post-tax deposits.
If projected deposits are continued, the balance of deposits that may be withdrawn tax &amp; penalty free prior to age 59.5 will be $95,500.</t>
        </r>
      </text>
    </comment>
    <comment ref="F8" authorId="0">
      <text>
        <r>
          <rPr>
            <b/>
            <sz val="9"/>
            <color indexed="81"/>
            <rFont val="Tahoma"/>
            <family val="2"/>
          </rPr>
          <t>Gene Roberts:</t>
        </r>
        <r>
          <rPr>
            <sz val="9"/>
            <color indexed="81"/>
            <rFont val="Tahoma"/>
            <family val="2"/>
          </rPr>
          <t xml:space="preserve">
Will prioritize this account for Taxable income withdrawal to deplete it.</t>
        </r>
      </text>
    </comment>
    <comment ref="J8" authorId="0">
      <text>
        <r>
          <rPr>
            <b/>
            <sz val="9"/>
            <color indexed="81"/>
            <rFont val="Tahoma"/>
            <family val="2"/>
          </rPr>
          <t>Gene Roberts:</t>
        </r>
        <r>
          <rPr>
            <sz val="9"/>
            <color indexed="81"/>
            <rFont val="Tahoma"/>
            <family val="2"/>
          </rPr>
          <t xml:space="preserve">
Priotity for un-taxable withdrawls after 59.5</t>
        </r>
      </text>
    </comment>
    <comment ref="L8" authorId="0">
      <text>
        <r>
          <rPr>
            <b/>
            <sz val="9"/>
            <color indexed="81"/>
            <rFont val="Tahoma"/>
            <family val="2"/>
          </rPr>
          <t>Gene Roberts:</t>
        </r>
        <r>
          <rPr>
            <sz val="9"/>
            <color indexed="81"/>
            <rFont val="Tahoma"/>
            <family val="2"/>
          </rPr>
          <t xml:space="preserve">
Second Priority for taxable withdrawals.</t>
        </r>
      </text>
    </comment>
    <comment ref="N8" authorId="0">
      <text>
        <r>
          <rPr>
            <b/>
            <sz val="9"/>
            <color indexed="81"/>
            <rFont val="Tahoma"/>
            <family val="2"/>
          </rPr>
          <t>Gene Roberts:</t>
        </r>
        <r>
          <rPr>
            <sz val="9"/>
            <color indexed="81"/>
            <rFont val="Tahoma"/>
            <family val="2"/>
          </rPr>
          <t xml:space="preserve">
Last Priority for taxable withdrawls.
</t>
        </r>
      </text>
    </comment>
    <comment ref="P8" authorId="0">
      <text>
        <r>
          <rPr>
            <b/>
            <sz val="9"/>
            <color indexed="81"/>
            <rFont val="Tahoma"/>
            <family val="2"/>
          </rPr>
          <t>Gene Roberts:</t>
        </r>
        <r>
          <rPr>
            <sz val="9"/>
            <color indexed="81"/>
            <rFont val="Tahoma"/>
            <family val="2"/>
          </rPr>
          <t xml:space="preserve">
SERMA credits can be used to pay for Medical, Dental, Vision, and Medicare premiums.</t>
        </r>
      </text>
    </comment>
    <comment ref="R8" authorId="0">
      <text>
        <r>
          <rPr>
            <b/>
            <sz val="9"/>
            <color indexed="81"/>
            <rFont val="Tahoma"/>
            <family val="2"/>
          </rPr>
          <t>Gene Roberts:</t>
        </r>
        <r>
          <rPr>
            <sz val="9"/>
            <color indexed="81"/>
            <rFont val="Tahoma"/>
            <family val="2"/>
          </rPr>
          <t xml:space="preserve">
H.S.A. can be used to pay for qualified Medical and Dental expenses.  It can also be used to pay for Medigap.
After all other funds are exhausted, H.S.A. can be tapped as an IRA would.</t>
        </r>
      </text>
    </comment>
    <comment ref="A9" authorId="0">
      <text>
        <r>
          <rPr>
            <b/>
            <sz val="9"/>
            <color indexed="81"/>
            <rFont val="Tahoma"/>
            <family val="2"/>
          </rPr>
          <t>Gene Roberts:</t>
        </r>
        <r>
          <rPr>
            <sz val="9"/>
            <color indexed="81"/>
            <rFont val="Tahoma"/>
            <family val="2"/>
          </rPr>
          <t xml:space="preserve">
Row where age turns 59.5
</t>
        </r>
      </text>
    </comment>
    <comment ref="F9" authorId="0">
      <text>
        <r>
          <rPr>
            <b/>
            <sz val="9"/>
            <color indexed="81"/>
            <rFont val="Tahoma"/>
            <family val="2"/>
          </rPr>
          <t>Gene Roberts:</t>
        </r>
        <r>
          <rPr>
            <sz val="9"/>
            <color indexed="81"/>
            <rFont val="Tahoma"/>
            <family val="2"/>
          </rPr>
          <t xml:space="preserve">
At age 59.5 will roll over all traditional 401K balances into Trad IRA.</t>
        </r>
      </text>
    </comment>
    <comment ref="L9" authorId="0">
      <text>
        <r>
          <rPr>
            <b/>
            <sz val="9"/>
            <color indexed="81"/>
            <rFont val="Tahoma"/>
            <family val="2"/>
          </rPr>
          <t>Gene Roberts:</t>
        </r>
        <r>
          <rPr>
            <sz val="9"/>
            <color indexed="81"/>
            <rFont val="Tahoma"/>
            <family val="2"/>
          </rPr>
          <t xml:space="preserve">
Combining Employer 401K and Traditional 401k after retirement for simplicity.</t>
        </r>
      </text>
    </comment>
    <comment ref="M9" authorId="0">
      <text>
        <r>
          <rPr>
            <b/>
            <sz val="9"/>
            <color indexed="81"/>
            <rFont val="Tahoma"/>
            <family val="2"/>
          </rPr>
          <t>Gene Roberts:</t>
        </r>
        <r>
          <rPr>
            <sz val="9"/>
            <color indexed="81"/>
            <rFont val="Tahoma"/>
            <family val="2"/>
          </rPr>
          <t xml:space="preserve">
My 401K plan allows penalty-fee withdrawals after age 55 once separated from company.</t>
        </r>
      </text>
    </comment>
    <comment ref="Q9" authorId="0">
      <text>
        <r>
          <rPr>
            <b/>
            <sz val="9"/>
            <color indexed="81"/>
            <rFont val="Tahoma"/>
            <family val="2"/>
          </rPr>
          <t>Gene Roberts:</t>
        </r>
        <r>
          <rPr>
            <sz val="9"/>
            <color indexed="81"/>
            <rFont val="Tahoma"/>
            <family val="2"/>
          </rPr>
          <t xml:space="preserve">
Medical, Dental, Vision and Medicare Premiums(partABD) are prioratized out of SERMA credits.</t>
        </r>
      </text>
    </comment>
    <comment ref="S9" authorId="0">
      <text>
        <r>
          <rPr>
            <b/>
            <sz val="9"/>
            <color indexed="81"/>
            <rFont val="Tahoma"/>
            <family val="2"/>
          </rPr>
          <t>Gene Roberts:</t>
        </r>
        <r>
          <rPr>
            <sz val="9"/>
            <color indexed="81"/>
            <rFont val="Tahoma"/>
            <family val="2"/>
          </rPr>
          <t xml:space="preserve">
All Medical, Vision, and Dental Expenses and Medigap once SERMA runs out.</t>
        </r>
      </text>
    </comment>
    <comment ref="Z9" authorId="0">
      <text>
        <r>
          <rPr>
            <b/>
            <sz val="9"/>
            <color indexed="81"/>
            <rFont val="Tahoma"/>
            <family val="2"/>
          </rPr>
          <t>Gene Roberts:</t>
        </r>
        <r>
          <rPr>
            <sz val="9"/>
            <color indexed="81"/>
            <rFont val="Tahoma"/>
            <family val="2"/>
          </rPr>
          <t xml:space="preserve">
Taxable will also include income from Broker account.  For now, I will tax this at income rate, but much will probably be capital gains.  Also taxing full amount of Brokerage withdrawals instead of considering cost basis.</t>
        </r>
      </text>
    </comment>
    <comment ref="AA9" authorId="0">
      <text>
        <r>
          <rPr>
            <b/>
            <sz val="9"/>
            <color indexed="81"/>
            <rFont val="Tahoma"/>
            <family val="2"/>
          </rPr>
          <t>Gene Roberts:</t>
        </r>
        <r>
          <rPr>
            <sz val="9"/>
            <color indexed="81"/>
            <rFont val="Tahoma"/>
            <family val="2"/>
          </rPr>
          <t xml:space="preserve">
Withdrawals from Trad IRA, 401K and Intel 401K.
Social Security is 85% taxable.
Will start with first full year of retirement.  First partial year of retirement will be part of last year of work.
Will divide the previous year's tax bill equally among each month.
Calcualation now includes both State and Federal Income Tax.</t>
        </r>
      </text>
    </comment>
    <comment ref="AJ9" authorId="0">
      <text>
        <r>
          <rPr>
            <b/>
            <sz val="9"/>
            <color indexed="81"/>
            <rFont val="Tahoma"/>
            <family val="2"/>
          </rPr>
          <t>Gene Roberts:</t>
        </r>
        <r>
          <rPr>
            <sz val="9"/>
            <color indexed="81"/>
            <rFont val="Tahoma"/>
            <family val="2"/>
          </rPr>
          <t xml:space="preserve">
Healthcare expenses not covered from SERMA or H.S.A. Accounts when they run out.</t>
        </r>
      </text>
    </comment>
    <comment ref="AM9" authorId="0">
      <text>
        <r>
          <rPr>
            <b/>
            <sz val="9"/>
            <color indexed="81"/>
            <rFont val="Tahoma"/>
            <family val="2"/>
          </rPr>
          <t>Gene Roberts:</t>
        </r>
        <r>
          <rPr>
            <sz val="9"/>
            <color indexed="81"/>
            <rFont val="Tahoma"/>
            <family val="2"/>
          </rPr>
          <t xml:space="preserve">
This line checks to make sure all the withdrawals equal all the expenses. Like School House Rock's says: "Zero is a Hero."</t>
        </r>
      </text>
    </comment>
    <comment ref="G10" authorId="0">
      <text>
        <r>
          <rPr>
            <b/>
            <sz val="9"/>
            <color indexed="81"/>
            <rFont val="Tahoma"/>
            <family val="2"/>
          </rPr>
          <t>Gene Roberts:</t>
        </r>
        <r>
          <rPr>
            <sz val="9"/>
            <color indexed="81"/>
            <rFont val="Tahoma"/>
            <family val="2"/>
          </rPr>
          <t xml:space="preserve">
If retirement began at &lt;55 and age is still &lt;59.5 then draw is from the 72t rule.</t>
        </r>
      </text>
    </comment>
    <comment ref="L10" authorId="0">
      <text>
        <r>
          <rPr>
            <b/>
            <sz val="9"/>
            <color indexed="81"/>
            <rFont val="Tahoma"/>
            <family val="2"/>
          </rPr>
          <t>Gene Roberts:</t>
        </r>
        <r>
          <rPr>
            <sz val="9"/>
            <color indexed="81"/>
            <rFont val="Tahoma"/>
            <family val="2"/>
          </rPr>
          <t xml:space="preserve">
If I retire at less than age 55, I will be rolling over part of my Trad 401K to my Trad IRA to bring the balance up to the necessary amount to generate the specified monthly distribution.
If I retire between 55 and 59.5, the employer 401K will be swept into the traditional 401K until I turn 59.5 (so I can draw on the funds without penalty per my employer's 401K rules) and then whatever is left in the trad 401k will be swept into the trad IRA.</t>
        </r>
      </text>
    </comment>
    <comment ref="M10" authorId="0">
      <text>
        <r>
          <rPr>
            <b/>
            <sz val="9"/>
            <color indexed="81"/>
            <rFont val="Tahoma"/>
            <family val="2"/>
          </rPr>
          <t>Gene Roberts:</t>
        </r>
        <r>
          <rPr>
            <sz val="9"/>
            <color indexed="81"/>
            <rFont val="Tahoma"/>
            <family val="2"/>
          </rPr>
          <t xml:space="preserve">
If I retire prior to 55, draw will be 0 until I turn 59.5 (because I have the 72t draw off of my Traditional IRA in that case)
If I retire after 55, draw will be based on % of withdrawal that is taken from taxable accounts from planning sheet until I turn 59.5.
After age 59.5 this account will be swept into the Traditional IRA</t>
        </r>
      </text>
    </comment>
    <comment ref="V10" authorId="0">
      <text>
        <r>
          <rPr>
            <b/>
            <sz val="9"/>
            <color indexed="81"/>
            <rFont val="Tahoma"/>
            <family val="2"/>
          </rPr>
          <t>Gene Roberts:</t>
        </r>
        <r>
          <rPr>
            <sz val="9"/>
            <color indexed="81"/>
            <rFont val="Tahoma"/>
            <family val="2"/>
          </rPr>
          <t xml:space="preserve">
If I retired earlier than 55 and I am less than 59.5, then will draw from Brokerage at specified percentage after 72t money is subtracted.
If I retire between 55 and 59.5, will draw from Brokerage at specified percentage after Trad 401K is subtracted.
After 59.5, the brokerage account becomes the last priority from withdrawal after everything else is depleated.</t>
        </r>
      </text>
    </comment>
    <comment ref="Y10" authorId="0">
      <text>
        <r>
          <rPr>
            <b/>
            <sz val="9"/>
            <color indexed="81"/>
            <rFont val="Tahoma"/>
            <family val="2"/>
          </rPr>
          <t>Gene Roberts:</t>
        </r>
        <r>
          <rPr>
            <sz val="9"/>
            <color indexed="81"/>
            <rFont val="Tahoma"/>
            <family val="2"/>
          </rPr>
          <t xml:space="preserve">
Budgeted Expenses are taken from budget on planning sheet and inflated from current date to the date of retirement.</t>
        </r>
      </text>
    </comment>
    <comment ref="AA10" authorId="0">
      <text>
        <r>
          <rPr>
            <b/>
            <sz val="9"/>
            <color indexed="81"/>
            <rFont val="Tahoma"/>
            <family val="2"/>
          </rPr>
          <t>Gene Roberts:</t>
        </r>
        <r>
          <rPr>
            <sz val="9"/>
            <color indexed="81"/>
            <rFont val="Tahoma"/>
            <family val="2"/>
          </rPr>
          <t xml:space="preserve">
Estimating the first months of taxes (prior to first full year of retirement).</t>
        </r>
      </text>
    </comment>
    <comment ref="F11" authorId="0">
      <text>
        <r>
          <rPr>
            <b/>
            <sz val="9"/>
            <color indexed="81"/>
            <rFont val="Tahoma"/>
            <family val="2"/>
          </rPr>
          <t>Gene Roberts:</t>
        </r>
        <r>
          <rPr>
            <sz val="9"/>
            <color indexed="81"/>
            <rFont val="Tahoma"/>
            <family val="2"/>
          </rPr>
          <t xml:space="preserve">
If I just turned 59.5 all the balances of trad 401K, and Employer 401K will be swept into Trad IRA.</t>
        </r>
      </text>
    </comment>
    <comment ref="J13" authorId="0">
      <text>
        <r>
          <rPr>
            <b/>
            <sz val="9"/>
            <color indexed="81"/>
            <rFont val="Tahoma"/>
            <family val="2"/>
          </rPr>
          <t>Gene Roberts:</t>
        </r>
        <r>
          <rPr>
            <sz val="9"/>
            <color indexed="81"/>
            <rFont val="Tahoma"/>
            <family val="2"/>
          </rPr>
          <t xml:space="preserve">
No withdrawals prior to 59.5
At age 59.5, will sweep into Roth IRA account.</t>
        </r>
      </text>
    </comment>
  </commentList>
</comments>
</file>

<file path=xl/sharedStrings.xml><?xml version="1.0" encoding="utf-8"?>
<sst xmlns="http://schemas.openxmlformats.org/spreadsheetml/2006/main" count="202" uniqueCount="160">
  <si>
    <t>Bill</t>
  </si>
  <si>
    <t>Amount</t>
  </si>
  <si>
    <t>#per year</t>
  </si>
  <si>
    <t>$ per year</t>
  </si>
  <si>
    <t>Cell Phone</t>
  </si>
  <si>
    <t>HOA</t>
  </si>
  <si>
    <t>Groceries</t>
  </si>
  <si>
    <t>Suppliments</t>
  </si>
  <si>
    <t>Lawn Care</t>
  </si>
  <si>
    <t>Auto Tax</t>
  </si>
  <si>
    <t>Totals</t>
  </si>
  <si>
    <t>Total</t>
  </si>
  <si>
    <t>Day</t>
  </si>
  <si>
    <t>Auto Insurance</t>
  </si>
  <si>
    <t>Motorcycle Ins</t>
  </si>
  <si>
    <t>Life Lock</t>
  </si>
  <si>
    <t>Motorcycle Tax</t>
  </si>
  <si>
    <t>Cable/Internet</t>
  </si>
  <si>
    <t>Budget</t>
  </si>
  <si>
    <t>House Maintenance</t>
  </si>
  <si>
    <t>Spending Money</t>
  </si>
  <si>
    <t>Motorcycle Maintenance</t>
  </si>
  <si>
    <t>House Insurance &amp; Tax</t>
  </si>
  <si>
    <t>Retirement Planning</t>
  </si>
  <si>
    <t>Contributions</t>
  </si>
  <si>
    <t>Account</t>
  </si>
  <si>
    <t>Roth IRA</t>
  </si>
  <si>
    <t>Roth 401k</t>
  </si>
  <si>
    <t>SERMA</t>
  </si>
  <si>
    <t>H.S.A.</t>
  </si>
  <si>
    <t>Trad IRA</t>
  </si>
  <si>
    <t>Age 50 to 55</t>
  </si>
  <si>
    <t>Now to age 50</t>
  </si>
  <si>
    <t>Age 55+</t>
  </si>
  <si>
    <t>Year</t>
  </si>
  <si>
    <t>Roth 401K</t>
  </si>
  <si>
    <t>Trad 401k</t>
  </si>
  <si>
    <t>Intel 401k</t>
  </si>
  <si>
    <t>Projected Retirement Balances</t>
  </si>
  <si>
    <t>Assumptions</t>
  </si>
  <si>
    <t>Annual Return on Investments</t>
  </si>
  <si>
    <t>Annual Inflation</t>
  </si>
  <si>
    <t>Age</t>
  </si>
  <si>
    <t>Social Security Annual Benefits @ 62</t>
  </si>
  <si>
    <t>Social Security Annual Benefits @ 70</t>
  </si>
  <si>
    <t>Social Security % of Benefits</t>
  </si>
  <si>
    <t>Date of Retirement</t>
  </si>
  <si>
    <t>Medicare Gap Premium</t>
  </si>
  <si>
    <t>Medicare Medical Co-Pay Expenses</t>
  </si>
  <si>
    <t>Social Security Age to Begin Benefis</t>
  </si>
  <si>
    <t xml:space="preserve">Annual Contribution </t>
  </si>
  <si>
    <t>Total Non-Health</t>
  </si>
  <si>
    <t>Non-Health Retirement Balance for 4% withdrawal Rate</t>
  </si>
  <si>
    <t>Actual</t>
  </si>
  <si>
    <t>Month</t>
  </si>
  <si>
    <t>Balance</t>
  </si>
  <si>
    <t>Draw</t>
  </si>
  <si>
    <t>Traditional IRA</t>
  </si>
  <si>
    <t>Traditional 401K</t>
  </si>
  <si>
    <t>Health Savings Acct.</t>
  </si>
  <si>
    <t>Beginning</t>
  </si>
  <si>
    <t xml:space="preserve">Social </t>
  </si>
  <si>
    <t>Security</t>
  </si>
  <si>
    <t>Medical</t>
  </si>
  <si>
    <t>Premium</t>
  </si>
  <si>
    <t>OOP</t>
  </si>
  <si>
    <t>Expenses</t>
  </si>
  <si>
    <t>Medicare</t>
  </si>
  <si>
    <t xml:space="preserve">Gap </t>
  </si>
  <si>
    <t>Medical Plan Premium (Monthly pre-Medicare)</t>
  </si>
  <si>
    <t>Medical Plan Out-of-Pocket  (pre-Medicare)</t>
  </si>
  <si>
    <t>Dental Plan Out-of-Pocket (Annual)</t>
  </si>
  <si>
    <t>Medicare Part A, B, &amp; D</t>
  </si>
  <si>
    <t>Part ABD</t>
  </si>
  <si>
    <t>Dental &amp; Vision Plan Premium(Annual)</t>
  </si>
  <si>
    <t>Vis &amp; Dent</t>
  </si>
  <si>
    <t>Rate</t>
  </si>
  <si>
    <t>Std Deduction</t>
  </si>
  <si>
    <t>Health</t>
  </si>
  <si>
    <t>Excess</t>
  </si>
  <si>
    <t>to $37,450</t>
  </si>
  <si>
    <t>up to $9,225</t>
  </si>
  <si>
    <t>to $90,750</t>
  </si>
  <si>
    <t>to $189,300</t>
  </si>
  <si>
    <t>Bracket Max</t>
  </si>
  <si>
    <t>Date $$$</t>
  </si>
  <si>
    <t>Runs out</t>
  </si>
  <si>
    <t>Age $$$</t>
  </si>
  <si>
    <t>Date $$$ runs out</t>
  </si>
  <si>
    <t>Age $$$ runs out</t>
  </si>
  <si>
    <t>Roth IRA Depsits</t>
  </si>
  <si>
    <t>Life Insurance</t>
  </si>
  <si>
    <t>Taxes</t>
  </si>
  <si>
    <t xml:space="preserve">Percent of Social Security that is taxable </t>
  </si>
  <si>
    <t>Percentage of Drawdown to come from Taxable</t>
  </si>
  <si>
    <t>Brokerage</t>
  </si>
  <si>
    <t>Scottrade Brokerage Account</t>
  </si>
  <si>
    <t>Total Taxes during retirement</t>
  </si>
  <si>
    <t>Taxable</t>
  </si>
  <si>
    <t>Brokerage Account</t>
  </si>
  <si>
    <t>New Car/Motorcycle</t>
  </si>
  <si>
    <t>Brokerage at Retirement</t>
  </si>
  <si>
    <t>Percentage of Pre 59.9 from Brokerage</t>
  </si>
  <si>
    <t>Age of Retirement</t>
  </si>
  <si>
    <t>SERMA Credits</t>
  </si>
  <si>
    <t>Brokerage at age 59.5</t>
  </si>
  <si>
    <t>Margin to exceed Roth Dep. B4 Age 59.5</t>
  </si>
  <si>
    <t>Roth</t>
  </si>
  <si>
    <t>Traditional</t>
  </si>
  <si>
    <t>Monthly Budget</t>
  </si>
  <si>
    <t>Pest Control</t>
  </si>
  <si>
    <t>Electric</t>
  </si>
  <si>
    <t>Total Social Security received</t>
  </si>
  <si>
    <t>Bal?</t>
  </si>
  <si>
    <t>Total Non-Health Retirement Balance @ Retirement</t>
  </si>
  <si>
    <t>Total retirement account balances @ retirement</t>
  </si>
  <si>
    <t>Social Security Annual Benefits @ 67</t>
  </si>
  <si>
    <t>N/A</t>
  </si>
  <si>
    <t>Accumulation Phase</t>
  </si>
  <si>
    <t>City - Water &amp; Trash</t>
  </si>
  <si>
    <t>Current Income</t>
  </si>
  <si>
    <t>Annual Raise of Income</t>
  </si>
  <si>
    <t>Everything in these areas can         be changed to see how it                   alters the end results.</t>
  </si>
  <si>
    <t xml:space="preserve">Total </t>
  </si>
  <si>
    <t>Healthcare</t>
  </si>
  <si>
    <t>Total Healthcare durring Retirement</t>
  </si>
  <si>
    <t>Heathcare paid from H.S.A. and SERMA</t>
  </si>
  <si>
    <t>Personal exemption</t>
  </si>
  <si>
    <t>Percentage of Brokerage W/D that are Taxable</t>
  </si>
  <si>
    <t>Trad IRA setup for 72t rule monthly withdrawal</t>
  </si>
  <si>
    <t>Required Minimum Distribution Data</t>
  </si>
  <si>
    <t>Life expectancy table</t>
  </si>
  <si>
    <t>Expectancy</t>
  </si>
  <si>
    <t>Apendix C</t>
  </si>
  <si>
    <t>72t Balance</t>
  </si>
  <si>
    <t>Trad IRA Balance to meet RMW amount above</t>
  </si>
  <si>
    <t>Employer 401k</t>
  </si>
  <si>
    <t>Employer 401K</t>
  </si>
  <si>
    <t>At age 59.5 combine Trad 401k and Employer 401k into Traditional IRA</t>
  </si>
  <si>
    <t>Total Traditional Pre-tax balances @ Retirement</t>
  </si>
  <si>
    <t>Projected Retirement Drawdown</t>
  </si>
  <si>
    <t>Effective</t>
  </si>
  <si>
    <t>Tax Rate</t>
  </si>
  <si>
    <t>Average Effective Tax Rate</t>
  </si>
  <si>
    <t>to $411,500</t>
  </si>
  <si>
    <t>Required</t>
  </si>
  <si>
    <t>Min Distr</t>
  </si>
  <si>
    <t>RMD</t>
  </si>
  <si>
    <t>Shortage</t>
  </si>
  <si>
    <t>as IRA</t>
  </si>
  <si>
    <t>Federal Tax Brackets</t>
  </si>
  <si>
    <t>Arizona Tax Brackets</t>
  </si>
  <si>
    <t>Up to $10,000</t>
  </si>
  <si>
    <t>$10,000 to $25,000</t>
  </si>
  <si>
    <t>$25,000 to $50,000</t>
  </si>
  <si>
    <t>$50,000 to $150,000</t>
  </si>
  <si>
    <t>Over $150,000</t>
  </si>
  <si>
    <t>Max Tax</t>
  </si>
  <si>
    <t>Arizona Personal expemption</t>
  </si>
  <si>
    <t xml:space="preserve">Total Expenses during retirement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</si>
</sst>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
    <numFmt numFmtId="165" formatCode="&quot;$&quot;#,##0.00"/>
    <numFmt numFmtId="166" formatCode="0.0"/>
    <numFmt numFmtId="167" formatCode="0.0%"/>
    <numFmt numFmtId="168" formatCode="m/d/yyyy;@"/>
  </numFmts>
  <fonts count="17" x14ac:knownFonts="1">
    <font>
      <sz val="10"/>
      <name val="Arial"/>
    </font>
    <font>
      <sz val="10"/>
      <color indexed="8"/>
      <name val="Tahoma"/>
      <family val="2"/>
    </font>
    <font>
      <sz val="10"/>
      <color indexed="8"/>
      <name val="Arial"/>
      <family val="2"/>
    </font>
    <font>
      <sz val="10"/>
      <color indexed="10"/>
      <name val="Tahoma"/>
      <family val="2"/>
    </font>
    <font>
      <sz val="10"/>
      <color indexed="10"/>
      <name val="Arial"/>
      <family val="2"/>
    </font>
    <font>
      <b/>
      <sz val="10"/>
      <name val="Arial"/>
      <family val="2"/>
    </font>
    <font>
      <b/>
      <sz val="12"/>
      <name val="Arial"/>
      <family val="2"/>
    </font>
    <font>
      <sz val="9"/>
      <color indexed="81"/>
      <name val="Tahoma"/>
      <family val="2"/>
    </font>
    <font>
      <b/>
      <sz val="9"/>
      <color indexed="81"/>
      <name val="Tahoma"/>
      <family val="2"/>
    </font>
    <font>
      <sz val="10"/>
      <name val="Arial"/>
      <family val="2"/>
    </font>
    <font>
      <sz val="20"/>
      <name val="Times New Roman"/>
      <family val="1"/>
    </font>
    <font>
      <sz val="22"/>
      <name val="Times New Roman"/>
      <family val="1"/>
    </font>
    <font>
      <sz val="36"/>
      <name val="Times New Roman"/>
      <family val="1"/>
    </font>
    <font>
      <sz val="12"/>
      <name val="Arial"/>
      <family val="2"/>
    </font>
    <font>
      <sz val="16"/>
      <name val="Arial"/>
      <family val="2"/>
    </font>
    <font>
      <sz val="20"/>
      <color indexed="8"/>
      <name val="Times New Roman"/>
      <family val="1"/>
    </font>
    <font>
      <b/>
      <sz val="11"/>
      <name val="Arial"/>
      <family val="2"/>
    </font>
  </fonts>
  <fills count="5">
    <fill>
      <patternFill patternType="none"/>
    </fill>
    <fill>
      <patternFill patternType="gray125"/>
    </fill>
    <fill>
      <patternFill patternType="solid">
        <fgColor rgb="FFCC99FF"/>
        <bgColor indexed="64"/>
      </patternFill>
    </fill>
    <fill>
      <patternFill patternType="solid">
        <fgColor rgb="FFCCFFCC"/>
        <bgColor indexed="64"/>
      </patternFill>
    </fill>
    <fill>
      <patternFill patternType="solid">
        <fgColor theme="0"/>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303">
    <xf numFmtId="0" fontId="0" fillId="0" borderId="0" xfId="0"/>
    <xf numFmtId="0" fontId="1" fillId="0" borderId="1" xfId="0" applyFont="1" applyBorder="1"/>
    <xf numFmtId="1" fontId="0" fillId="0" borderId="0" xfId="0" applyNumberFormat="1"/>
    <xf numFmtId="14" fontId="0" fillId="0" borderId="0" xfId="0" applyNumberFormat="1"/>
    <xf numFmtId="0" fontId="9" fillId="0" borderId="0" xfId="0" applyFont="1"/>
    <xf numFmtId="166" fontId="0" fillId="0" borderId="6" xfId="0" applyNumberFormat="1" applyBorder="1"/>
    <xf numFmtId="166" fontId="0" fillId="0" borderId="0" xfId="0" applyNumberFormat="1"/>
    <xf numFmtId="164" fontId="0" fillId="0" borderId="0" xfId="0" applyNumberFormat="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165" fontId="2" fillId="0" borderId="29" xfId="0" applyNumberFormat="1" applyFont="1" applyBorder="1"/>
    <xf numFmtId="165" fontId="1" fillId="0" borderId="29" xfId="0" applyNumberFormat="1" applyFont="1" applyBorder="1"/>
    <xf numFmtId="0" fontId="1" fillId="0" borderId="29" xfId="0" applyFont="1" applyBorder="1"/>
    <xf numFmtId="0" fontId="1" fillId="0" borderId="30" xfId="0" applyFont="1" applyBorder="1"/>
    <xf numFmtId="0" fontId="1" fillId="0" borderId="31" xfId="0" applyFont="1" applyBorder="1"/>
    <xf numFmtId="0" fontId="3" fillId="0" borderId="31" xfId="0" applyFont="1" applyBorder="1"/>
    <xf numFmtId="164" fontId="4" fillId="0" borderId="31" xfId="0" applyNumberFormat="1" applyFont="1" applyBorder="1"/>
    <xf numFmtId="165" fontId="3" fillId="0" borderId="32" xfId="0" applyNumberFormat="1" applyFont="1" applyBorder="1"/>
    <xf numFmtId="0" fontId="9" fillId="0" borderId="0" xfId="0" applyFont="1" applyAlignment="1">
      <alignment horizontal="center"/>
    </xf>
    <xf numFmtId="0" fontId="1" fillId="0" borderId="0" xfId="0" applyFont="1" applyFill="1" applyBorder="1" applyAlignment="1">
      <alignment horizontal="center"/>
    </xf>
    <xf numFmtId="164" fontId="0" fillId="0" borderId="1" xfId="0" applyNumberFormat="1" applyBorder="1"/>
    <xf numFmtId="0" fontId="0" fillId="0" borderId="27" xfId="0" applyBorder="1"/>
    <xf numFmtId="164" fontId="0" fillId="0" borderId="29" xfId="0" applyNumberFormat="1" applyBorder="1"/>
    <xf numFmtId="0" fontId="11" fillId="0" borderId="33" xfId="0" applyFont="1" applyBorder="1" applyAlignment="1">
      <alignment horizontal="center"/>
    </xf>
    <xf numFmtId="0" fontId="11" fillId="0" borderId="37" xfId="0" applyFont="1" applyBorder="1" applyAlignment="1">
      <alignment horizontal="center"/>
    </xf>
    <xf numFmtId="0" fontId="0" fillId="0" borderId="36" xfId="0" applyBorder="1"/>
    <xf numFmtId="0" fontId="9" fillId="0" borderId="4" xfId="0" applyFont="1" applyBorder="1"/>
    <xf numFmtId="0" fontId="9" fillId="0" borderId="3" xfId="0" applyFont="1" applyBorder="1"/>
    <xf numFmtId="164" fontId="0" fillId="0" borderId="6" xfId="0" applyNumberFormat="1" applyBorder="1"/>
    <xf numFmtId="164" fontId="0" fillId="0" borderId="40" xfId="0" applyNumberFormat="1" applyBorder="1"/>
    <xf numFmtId="0" fontId="9" fillId="0" borderId="42" xfId="0" applyFont="1" applyBorder="1"/>
    <xf numFmtId="0" fontId="9" fillId="0" borderId="13" xfId="0" applyFont="1" applyBorder="1"/>
    <xf numFmtId="0" fontId="9" fillId="0" borderId="43" xfId="0" applyFont="1" applyFill="1" applyBorder="1"/>
    <xf numFmtId="0" fontId="0" fillId="0" borderId="0" xfId="0" applyBorder="1"/>
    <xf numFmtId="0" fontId="9" fillId="0" borderId="0" xfId="0" applyFont="1" applyBorder="1"/>
    <xf numFmtId="0" fontId="9" fillId="0" borderId="3" xfId="0" applyFont="1" applyFill="1" applyBorder="1"/>
    <xf numFmtId="164" fontId="0" fillId="0" borderId="50" xfId="0" applyNumberFormat="1" applyBorder="1"/>
    <xf numFmtId="164" fontId="0" fillId="0" borderId="0" xfId="0" applyNumberFormat="1" applyBorder="1"/>
    <xf numFmtId="9" fontId="0" fillId="0" borderId="0" xfId="0" applyNumberFormat="1" applyBorder="1"/>
    <xf numFmtId="0" fontId="0" fillId="0" borderId="0" xfId="0" applyBorder="1" applyAlignment="1">
      <alignment horizontal="center"/>
    </xf>
    <xf numFmtId="168" fontId="0" fillId="0" borderId="50" xfId="0" applyNumberFormat="1" applyBorder="1"/>
    <xf numFmtId="14" fontId="0" fillId="0" borderId="51" xfId="0" applyNumberFormat="1" applyBorder="1"/>
    <xf numFmtId="0" fontId="9" fillId="0" borderId="9" xfId="0" applyFont="1" applyBorder="1"/>
    <xf numFmtId="166" fontId="0" fillId="0" borderId="11" xfId="0" applyNumberFormat="1" applyBorder="1"/>
    <xf numFmtId="0" fontId="9" fillId="0" borderId="0" xfId="0" applyFont="1" applyFill="1" applyBorder="1" applyAlignment="1">
      <alignment horizontal="center"/>
    </xf>
    <xf numFmtId="164" fontId="9" fillId="0" borderId="6" xfId="0" applyNumberFormat="1" applyFont="1" applyBorder="1"/>
    <xf numFmtId="0" fontId="9" fillId="0" borderId="43" xfId="0" applyFont="1" applyFill="1" applyBorder="1" applyAlignment="1">
      <alignment vertical="center" wrapText="1"/>
    </xf>
    <xf numFmtId="164" fontId="0" fillId="2" borderId="24" xfId="0" applyNumberFormat="1" applyFill="1" applyBorder="1"/>
    <xf numFmtId="164" fontId="0" fillId="2" borderId="11" xfId="0" applyNumberFormat="1" applyFill="1" applyBorder="1"/>
    <xf numFmtId="164" fontId="0" fillId="2" borderId="7" xfId="0" applyNumberFormat="1" applyFill="1" applyBorder="1"/>
    <xf numFmtId="164" fontId="0" fillId="2" borderId="40" xfId="0" applyNumberFormat="1" applyFill="1" applyBorder="1"/>
    <xf numFmtId="164" fontId="0" fillId="2" borderId="6" xfId="0" applyNumberFormat="1" applyFill="1" applyBorder="1"/>
    <xf numFmtId="166" fontId="0" fillId="0" borderId="7" xfId="0" applyNumberFormat="1" applyBorder="1"/>
    <xf numFmtId="14" fontId="0" fillId="0" borderId="24" xfId="0" applyNumberFormat="1" applyBorder="1"/>
    <xf numFmtId="14" fontId="0" fillId="0" borderId="40" xfId="0" applyNumberFormat="1" applyBorder="1"/>
    <xf numFmtId="164" fontId="0" fillId="0" borderId="28" xfId="0" applyNumberFormat="1" applyBorder="1"/>
    <xf numFmtId="164" fontId="0" fillId="0" borderId="44" xfId="0" applyNumberFormat="1" applyBorder="1"/>
    <xf numFmtId="164" fontId="9" fillId="0" borderId="44" xfId="0" applyNumberFormat="1" applyFont="1" applyBorder="1"/>
    <xf numFmtId="14" fontId="9" fillId="0" borderId="0" xfId="0" applyNumberFormat="1" applyFont="1"/>
    <xf numFmtId="0" fontId="9" fillId="0" borderId="42" xfId="0" applyFont="1" applyBorder="1" applyAlignment="1">
      <alignment vertical="center" wrapText="1"/>
    </xf>
    <xf numFmtId="9" fontId="0" fillId="0" borderId="48" xfId="0" applyNumberFormat="1" applyBorder="1"/>
    <xf numFmtId="164" fontId="0" fillId="2" borderId="50" xfId="0" applyNumberFormat="1" applyFill="1" applyBorder="1"/>
    <xf numFmtId="0" fontId="0" fillId="2" borderId="0" xfId="0" applyFill="1"/>
    <xf numFmtId="0" fontId="5" fillId="0" borderId="20" xfId="0" applyFont="1" applyBorder="1" applyAlignment="1">
      <alignment horizontal="right"/>
    </xf>
    <xf numFmtId="164" fontId="9" fillId="2" borderId="6" xfId="0" applyNumberFormat="1" applyFont="1" applyFill="1" applyBorder="1"/>
    <xf numFmtId="164" fontId="0" fillId="0" borderId="30" xfId="0" applyNumberFormat="1" applyBorder="1"/>
    <xf numFmtId="164" fontId="5" fillId="2" borderId="50" xfId="0" applyNumberFormat="1" applyFont="1" applyFill="1" applyBorder="1"/>
    <xf numFmtId="164" fontId="5" fillId="0" borderId="50" xfId="0" applyNumberFormat="1" applyFont="1" applyBorder="1"/>
    <xf numFmtId="0" fontId="5" fillId="0" borderId="0" xfId="0" applyFont="1" applyAlignment="1"/>
    <xf numFmtId="14" fontId="13" fillId="0" borderId="48" xfId="0" applyNumberFormat="1" applyFont="1" applyBorder="1"/>
    <xf numFmtId="166" fontId="13" fillId="0" borderId="41" xfId="0" applyNumberFormat="1" applyFont="1" applyBorder="1"/>
    <xf numFmtId="164" fontId="5" fillId="0" borderId="48" xfId="0" applyNumberFormat="1" applyFont="1" applyBorder="1"/>
    <xf numFmtId="164" fontId="5" fillId="0" borderId="62" xfId="0" applyNumberFormat="1" applyFont="1" applyBorder="1"/>
    <xf numFmtId="0" fontId="9" fillId="0" borderId="3" xfId="0" applyFont="1" applyFill="1" applyBorder="1" applyAlignment="1">
      <alignment horizontal="center"/>
    </xf>
    <xf numFmtId="0" fontId="9" fillId="0" borderId="42" xfId="0" applyFont="1" applyFill="1" applyBorder="1" applyAlignment="1">
      <alignment horizontal="center" vertical="center" wrapText="1"/>
    </xf>
    <xf numFmtId="0" fontId="9" fillId="0" borderId="13" xfId="0" applyFont="1" applyBorder="1" applyAlignment="1">
      <alignment horizontal="center"/>
    </xf>
    <xf numFmtId="0" fontId="9" fillId="3" borderId="28" xfId="0" applyFont="1" applyFill="1" applyBorder="1"/>
    <xf numFmtId="0" fontId="1" fillId="3" borderId="28" xfId="0" applyFont="1" applyFill="1" applyBorder="1"/>
    <xf numFmtId="0" fontId="1" fillId="3" borderId="1" xfId="0" applyFont="1" applyFill="1" applyBorder="1"/>
    <xf numFmtId="165" fontId="2" fillId="3" borderId="1" xfId="0" applyNumberFormat="1" applyFont="1" applyFill="1" applyBorder="1"/>
    <xf numFmtId="0" fontId="9" fillId="3" borderId="14" xfId="0" applyFont="1" applyFill="1" applyBorder="1"/>
    <xf numFmtId="164" fontId="9" fillId="3" borderId="7" xfId="0" applyNumberFormat="1" applyFont="1" applyFill="1" applyBorder="1" applyAlignment="1">
      <alignment horizontal="right"/>
    </xf>
    <xf numFmtId="164" fontId="0" fillId="3" borderId="24" xfId="0" applyNumberFormat="1" applyFill="1" applyBorder="1"/>
    <xf numFmtId="164" fontId="0" fillId="3" borderId="7" xfId="0" applyNumberFormat="1" applyFill="1" applyBorder="1"/>
    <xf numFmtId="0" fontId="9" fillId="3" borderId="4" xfId="0" applyFont="1" applyFill="1" applyBorder="1"/>
    <xf numFmtId="164" fontId="9" fillId="3" borderId="6" xfId="0" applyNumberFormat="1" applyFont="1" applyFill="1" applyBorder="1" applyAlignment="1">
      <alignment horizontal="right"/>
    </xf>
    <xf numFmtId="164" fontId="0" fillId="3" borderId="40" xfId="0" applyNumberFormat="1" applyFill="1" applyBorder="1"/>
    <xf numFmtId="164" fontId="0" fillId="3" borderId="6" xfId="0" applyNumberFormat="1" applyFill="1" applyBorder="1"/>
    <xf numFmtId="49" fontId="9" fillId="3" borderId="4" xfId="0" applyNumberFormat="1" applyFont="1" applyFill="1" applyBorder="1"/>
    <xf numFmtId="9" fontId="0" fillId="3" borderId="6" xfId="0" applyNumberFormat="1" applyFill="1" applyBorder="1"/>
    <xf numFmtId="9" fontId="0" fillId="3" borderId="40" xfId="0" applyNumberFormat="1" applyFill="1" applyBorder="1"/>
    <xf numFmtId="0" fontId="9" fillId="3" borderId="5" xfId="0" applyFont="1" applyFill="1" applyBorder="1"/>
    <xf numFmtId="164" fontId="0" fillId="3" borderId="16" xfId="0" applyNumberFormat="1" applyFill="1" applyBorder="1"/>
    <xf numFmtId="164" fontId="0" fillId="3" borderId="53" xfId="0" applyNumberFormat="1" applyFill="1" applyBorder="1"/>
    <xf numFmtId="0" fontId="9" fillId="3" borderId="46" xfId="0" applyFont="1" applyFill="1" applyBorder="1"/>
    <xf numFmtId="164" fontId="0" fillId="3" borderId="47" xfId="0" applyNumberFormat="1" applyFill="1" applyBorder="1"/>
    <xf numFmtId="164" fontId="0" fillId="3" borderId="48" xfId="0" applyNumberFormat="1" applyFill="1" applyBorder="1"/>
    <xf numFmtId="0" fontId="9" fillId="3" borderId="35" xfId="0" applyFont="1" applyFill="1" applyBorder="1"/>
    <xf numFmtId="0" fontId="9" fillId="0" borderId="3" xfId="0" applyFont="1" applyFill="1" applyBorder="1" applyAlignment="1">
      <alignment horizontal="center" vertical="center" wrapText="1"/>
    </xf>
    <xf numFmtId="164" fontId="0" fillId="3" borderId="36" xfId="0" applyNumberFormat="1" applyFill="1" applyBorder="1"/>
    <xf numFmtId="9" fontId="0" fillId="0" borderId="0" xfId="0" applyNumberFormat="1"/>
    <xf numFmtId="165" fontId="0" fillId="0" borderId="0" xfId="0" applyNumberFormat="1"/>
    <xf numFmtId="10" fontId="0" fillId="0" borderId="0" xfId="0" applyNumberFormat="1"/>
    <xf numFmtId="0" fontId="9" fillId="0" borderId="46" xfId="0" applyFont="1" applyBorder="1" applyAlignment="1">
      <alignment horizontal="center"/>
    </xf>
    <xf numFmtId="0" fontId="0" fillId="0" borderId="47" xfId="0" applyBorder="1" applyAlignment="1">
      <alignment horizontal="center"/>
    </xf>
    <xf numFmtId="0" fontId="10" fillId="0" borderId="8" xfId="0" applyFont="1" applyBorder="1" applyAlignment="1">
      <alignment horizontal="center"/>
    </xf>
    <xf numFmtId="0" fontId="10" fillId="0" borderId="17" xfId="0" applyFont="1" applyBorder="1" applyAlignment="1">
      <alignment horizontal="center"/>
    </xf>
    <xf numFmtId="0" fontId="10" fillId="0" borderId="21" xfId="0" applyFont="1" applyBorder="1" applyAlignment="1">
      <alignment horizontal="center"/>
    </xf>
    <xf numFmtId="0" fontId="10" fillId="0" borderId="22" xfId="0" applyFont="1" applyBorder="1" applyAlignment="1">
      <alignment horizontal="center"/>
    </xf>
    <xf numFmtId="0" fontId="5" fillId="3" borderId="8" xfId="0" applyFont="1" applyFill="1" applyBorder="1" applyAlignment="1">
      <alignment horizontal="center" wrapText="1"/>
    </xf>
    <xf numFmtId="0" fontId="5" fillId="3" borderId="17" xfId="0" applyFont="1" applyFill="1" applyBorder="1" applyAlignment="1">
      <alignment horizontal="center" wrapText="1"/>
    </xf>
    <xf numFmtId="0" fontId="5" fillId="3" borderId="18" xfId="0" applyFont="1" applyFill="1" applyBorder="1" applyAlignment="1">
      <alignment horizontal="center" wrapText="1"/>
    </xf>
    <xf numFmtId="0" fontId="5" fillId="3" borderId="19" xfId="0" applyFont="1" applyFill="1" applyBorder="1" applyAlignment="1">
      <alignment horizontal="center" wrapText="1"/>
    </xf>
    <xf numFmtId="0" fontId="5" fillId="3" borderId="0" xfId="0" applyFont="1" applyFill="1" applyBorder="1" applyAlignment="1">
      <alignment horizontal="center" wrapText="1"/>
    </xf>
    <xf numFmtId="0" fontId="5" fillId="3" borderId="20" xfId="0" applyFont="1" applyFill="1" applyBorder="1" applyAlignment="1">
      <alignment horizontal="center" wrapText="1"/>
    </xf>
    <xf numFmtId="0" fontId="5" fillId="3" borderId="21" xfId="0" applyFont="1" applyFill="1" applyBorder="1" applyAlignment="1">
      <alignment horizontal="center" wrapText="1"/>
    </xf>
    <xf numFmtId="0" fontId="5" fillId="3" borderId="22" xfId="0" applyFont="1" applyFill="1" applyBorder="1" applyAlignment="1">
      <alignment horizontal="center" wrapText="1"/>
    </xf>
    <xf numFmtId="0" fontId="5" fillId="3" borderId="23" xfId="0" applyFont="1" applyFill="1" applyBorder="1" applyAlignment="1">
      <alignment horizontal="center" wrapText="1"/>
    </xf>
    <xf numFmtId="0" fontId="5" fillId="0" borderId="8" xfId="0" applyFont="1" applyBorder="1" applyAlignment="1">
      <alignment horizontal="center"/>
    </xf>
    <xf numFmtId="0" fontId="5" fillId="0" borderId="17" xfId="0" applyFont="1" applyBorder="1" applyAlignment="1">
      <alignment horizontal="center"/>
    </xf>
    <xf numFmtId="0" fontId="5" fillId="0" borderId="55" xfId="0" applyFont="1" applyBorder="1" applyAlignment="1">
      <alignment horizontal="center"/>
    </xf>
    <xf numFmtId="164" fontId="5" fillId="0" borderId="66" xfId="0" applyNumberFormat="1" applyFont="1" applyBorder="1" applyAlignment="1">
      <alignment horizontal="center"/>
    </xf>
    <xf numFmtId="164" fontId="5" fillId="0" borderId="18" xfId="0" applyNumberFormat="1" applyFont="1" applyBorder="1" applyAlignment="1">
      <alignment horizontal="center"/>
    </xf>
    <xf numFmtId="0" fontId="5" fillId="0" borderId="13" xfId="0" applyFont="1" applyBorder="1" applyAlignment="1">
      <alignment horizontal="center"/>
    </xf>
    <xf numFmtId="0" fontId="5" fillId="0" borderId="42" xfId="0" applyFont="1" applyBorder="1" applyAlignment="1">
      <alignment horizontal="center"/>
    </xf>
    <xf numFmtId="0" fontId="5" fillId="0" borderId="52" xfId="0" applyFont="1" applyBorder="1" applyAlignment="1">
      <alignment horizontal="center"/>
    </xf>
    <xf numFmtId="0" fontId="9" fillId="3" borderId="30" xfId="0" applyFont="1" applyFill="1" applyBorder="1" applyAlignment="1">
      <alignment horizontal="center"/>
    </xf>
    <xf numFmtId="0" fontId="9" fillId="3" borderId="31" xfId="0" applyFont="1" applyFill="1" applyBorder="1" applyAlignment="1">
      <alignment horizontal="center"/>
    </xf>
    <xf numFmtId="9" fontId="0" fillId="3" borderId="32" xfId="0" applyNumberFormat="1" applyFill="1" applyBorder="1" applyAlignment="1">
      <alignment horizontal="center"/>
    </xf>
    <xf numFmtId="0" fontId="9" fillId="3" borderId="4" xfId="0" applyFont="1" applyFill="1" applyBorder="1" applyAlignment="1">
      <alignment horizontal="center"/>
    </xf>
    <xf numFmtId="0" fontId="9" fillId="3" borderId="2" xfId="0" applyFont="1" applyFill="1" applyBorder="1" applyAlignment="1">
      <alignment horizontal="center"/>
    </xf>
    <xf numFmtId="164" fontId="0" fillId="3" borderId="44" xfId="0" applyNumberFormat="1" applyFill="1" applyBorder="1" applyAlignment="1">
      <alignment horizontal="center"/>
    </xf>
    <xf numFmtId="164" fontId="0" fillId="3" borderId="51" xfId="0" applyNumberFormat="1" applyFill="1" applyBorder="1" applyAlignment="1">
      <alignment horizontal="center"/>
    </xf>
    <xf numFmtId="0" fontId="9" fillId="4" borderId="4" xfId="0" applyFont="1" applyFill="1" applyBorder="1" applyAlignment="1">
      <alignment horizontal="center"/>
    </xf>
    <xf numFmtId="0" fontId="9" fillId="4" borderId="2" xfId="0" applyFont="1" applyFill="1" applyBorder="1" applyAlignment="1">
      <alignment horizontal="center"/>
    </xf>
    <xf numFmtId="164" fontId="0" fillId="4" borderId="44" xfId="0" applyNumberFormat="1" applyFill="1" applyBorder="1" applyAlignment="1">
      <alignment horizontal="center"/>
    </xf>
    <xf numFmtId="164" fontId="0" fillId="4" borderId="51" xfId="0" applyNumberFormat="1" applyFill="1" applyBorder="1" applyAlignment="1">
      <alignment horizontal="center"/>
    </xf>
    <xf numFmtId="0" fontId="9" fillId="0" borderId="28" xfId="0" applyFont="1" applyFill="1" applyBorder="1" applyAlignment="1">
      <alignment horizontal="center"/>
    </xf>
    <xf numFmtId="0" fontId="9" fillId="0" borderId="1" xfId="0" applyFont="1" applyFill="1" applyBorder="1" applyAlignment="1">
      <alignment horizontal="center"/>
    </xf>
    <xf numFmtId="0" fontId="6" fillId="3" borderId="21" xfId="0" applyFont="1" applyFill="1" applyBorder="1" applyAlignment="1">
      <alignment horizontal="center"/>
    </xf>
    <xf numFmtId="0" fontId="6" fillId="3" borderId="57" xfId="0" applyFont="1" applyFill="1" applyBorder="1" applyAlignment="1">
      <alignment horizontal="center"/>
    </xf>
    <xf numFmtId="14" fontId="6" fillId="3" borderId="59" xfId="0" applyNumberFormat="1" applyFont="1" applyFill="1" applyBorder="1" applyAlignment="1">
      <alignment horizontal="center"/>
    </xf>
    <xf numFmtId="14" fontId="6" fillId="3" borderId="23" xfId="0" applyNumberFormat="1" applyFont="1" applyFill="1" applyBorder="1" applyAlignment="1">
      <alignment horizontal="center"/>
    </xf>
    <xf numFmtId="0" fontId="12" fillId="0" borderId="8" xfId="0" applyFont="1" applyBorder="1" applyAlignment="1">
      <alignment horizontal="center"/>
    </xf>
    <xf numFmtId="0" fontId="12" fillId="0" borderId="17"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0" fontId="12" fillId="0" borderId="0" xfId="0" applyFont="1" applyBorder="1" applyAlignment="1">
      <alignment horizontal="center"/>
    </xf>
    <xf numFmtId="0" fontId="12" fillId="0" borderId="20" xfId="0" applyFont="1" applyBorder="1" applyAlignment="1">
      <alignment horizontal="center"/>
    </xf>
    <xf numFmtId="0" fontId="12" fillId="0" borderId="21" xfId="0" applyFont="1" applyBorder="1" applyAlignment="1">
      <alignment horizontal="center"/>
    </xf>
    <xf numFmtId="0" fontId="12" fillId="0" borderId="22" xfId="0" applyFont="1" applyBorder="1" applyAlignment="1">
      <alignment horizontal="center"/>
    </xf>
    <xf numFmtId="0" fontId="12" fillId="0" borderId="23" xfId="0" applyFont="1" applyBorder="1" applyAlignment="1">
      <alignment horizontal="center"/>
    </xf>
    <xf numFmtId="0" fontId="10" fillId="0" borderId="9" xfId="0" applyFont="1" applyBorder="1" applyAlignment="1">
      <alignment horizontal="center"/>
    </xf>
    <xf numFmtId="0" fontId="10" fillId="0" borderId="15" xfId="0" applyFont="1" applyBorder="1" applyAlignment="1">
      <alignment horizontal="center"/>
    </xf>
    <xf numFmtId="0" fontId="11" fillId="0" borderId="25" xfId="0" applyFont="1" applyBorder="1" applyAlignment="1">
      <alignment horizontal="center"/>
    </xf>
    <xf numFmtId="0" fontId="11" fillId="0" borderId="27" xfId="0" applyFont="1" applyBorder="1" applyAlignment="1">
      <alignment horizontal="center"/>
    </xf>
    <xf numFmtId="0" fontId="11" fillId="0" borderId="35" xfId="0" applyFont="1" applyBorder="1" applyAlignment="1">
      <alignment horizontal="center"/>
    </xf>
    <xf numFmtId="0" fontId="11" fillId="0" borderId="36" xfId="0" applyFont="1" applyBorder="1" applyAlignment="1">
      <alignment horizontal="center"/>
    </xf>
    <xf numFmtId="0" fontId="15" fillId="0" borderId="25" xfId="0" applyFont="1" applyFill="1" applyBorder="1" applyAlignment="1">
      <alignment horizontal="center"/>
    </xf>
    <xf numFmtId="0" fontId="15" fillId="0" borderId="10" xfId="0" applyFont="1" applyFill="1" applyBorder="1" applyAlignment="1">
      <alignment horizontal="center"/>
    </xf>
    <xf numFmtId="0" fontId="1" fillId="0" borderId="39" xfId="0" applyFont="1" applyFill="1" applyBorder="1" applyAlignment="1">
      <alignment horizontal="center"/>
    </xf>
    <xf numFmtId="0" fontId="1" fillId="0" borderId="41" xfId="0" applyFont="1"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9" fillId="3" borderId="25" xfId="0" applyFont="1" applyFill="1" applyBorder="1" applyAlignment="1">
      <alignment horizontal="center"/>
    </xf>
    <xf numFmtId="0" fontId="9" fillId="3" borderId="26" xfId="0" applyFont="1" applyFill="1" applyBorder="1" applyAlignment="1">
      <alignment horizontal="center"/>
    </xf>
    <xf numFmtId="0" fontId="9" fillId="3" borderId="28" xfId="0" applyFont="1" applyFill="1" applyBorder="1" applyAlignment="1">
      <alignment horizontal="center"/>
    </xf>
    <xf numFmtId="0" fontId="9" fillId="3" borderId="1" xfId="0" applyFont="1" applyFill="1" applyBorder="1" applyAlignment="1">
      <alignment horizontal="center"/>
    </xf>
    <xf numFmtId="167" fontId="0" fillId="3" borderId="1" xfId="0" applyNumberFormat="1" applyFill="1" applyBorder="1" applyAlignment="1">
      <alignment horizontal="center"/>
    </xf>
    <xf numFmtId="167" fontId="0" fillId="3" borderId="29" xfId="0" applyNumberFormat="1" applyFill="1" applyBorder="1" applyAlignment="1">
      <alignment horizontal="center"/>
    </xf>
    <xf numFmtId="164" fontId="0" fillId="3" borderId="1" xfId="0" applyNumberFormat="1" applyFill="1" applyBorder="1" applyAlignment="1">
      <alignment horizontal="center"/>
    </xf>
    <xf numFmtId="164" fontId="0" fillId="3" borderId="29" xfId="0" applyNumberFormat="1" applyFill="1" applyBorder="1" applyAlignment="1">
      <alignment horizontal="center"/>
    </xf>
    <xf numFmtId="167" fontId="0" fillId="0" borderId="1" xfId="0" applyNumberFormat="1" applyBorder="1" applyAlignment="1">
      <alignment horizontal="center"/>
    </xf>
    <xf numFmtId="167" fontId="0" fillId="0" borderId="29" xfId="0" applyNumberFormat="1" applyBorder="1" applyAlignment="1">
      <alignment horizontal="center"/>
    </xf>
    <xf numFmtId="0" fontId="0" fillId="3" borderId="1" xfId="0" applyFill="1" applyBorder="1" applyAlignment="1">
      <alignment horizontal="center"/>
    </xf>
    <xf numFmtId="0" fontId="0" fillId="3" borderId="29" xfId="0" applyFill="1" applyBorder="1" applyAlignment="1">
      <alignment horizontal="center"/>
    </xf>
    <xf numFmtId="0" fontId="9" fillId="0" borderId="63" xfId="0" applyFont="1" applyBorder="1" applyAlignment="1">
      <alignment horizontal="center"/>
    </xf>
    <xf numFmtId="0" fontId="9" fillId="0" borderId="64" xfId="0" applyFont="1" applyBorder="1" applyAlignment="1">
      <alignment horizontal="center"/>
    </xf>
    <xf numFmtId="0" fontId="10" fillId="2" borderId="8" xfId="0" applyFont="1" applyFill="1" applyBorder="1" applyAlignment="1">
      <alignment horizontal="center"/>
    </xf>
    <xf numFmtId="0" fontId="10" fillId="2" borderId="18" xfId="0" applyFont="1" applyFill="1" applyBorder="1" applyAlignment="1">
      <alignment horizontal="center"/>
    </xf>
    <xf numFmtId="0" fontId="10" fillId="2" borderId="21" xfId="0" applyFont="1" applyFill="1" applyBorder="1" applyAlignment="1">
      <alignment horizontal="center"/>
    </xf>
    <xf numFmtId="0" fontId="10" fillId="2" borderId="23" xfId="0" applyFont="1" applyFill="1" applyBorder="1" applyAlignment="1">
      <alignment horizontal="center"/>
    </xf>
    <xf numFmtId="0" fontId="0" fillId="3" borderId="2" xfId="0" applyFill="1" applyBorder="1" applyAlignment="1">
      <alignment horizontal="center"/>
    </xf>
    <xf numFmtId="0" fontId="9" fillId="3" borderId="35" xfId="0" applyFont="1" applyFill="1" applyBorder="1" applyAlignment="1">
      <alignment horizontal="center"/>
    </xf>
    <xf numFmtId="0" fontId="9" fillId="3" borderId="54" xfId="0" applyFont="1" applyFill="1" applyBorder="1" applyAlignment="1">
      <alignment horizontal="center"/>
    </xf>
    <xf numFmtId="9" fontId="0" fillId="3" borderId="54" xfId="0" applyNumberFormat="1" applyFill="1" applyBorder="1" applyAlignment="1">
      <alignment horizontal="center"/>
    </xf>
    <xf numFmtId="9" fontId="0" fillId="3" borderId="36" xfId="0" applyNumberFormat="1" applyFill="1" applyBorder="1" applyAlignment="1">
      <alignment horizontal="center"/>
    </xf>
    <xf numFmtId="0" fontId="9" fillId="4" borderId="13" xfId="0" applyFont="1" applyFill="1" applyBorder="1" applyAlignment="1">
      <alignment horizontal="center"/>
    </xf>
    <xf numFmtId="0" fontId="9" fillId="4" borderId="52" xfId="0" applyFont="1" applyFill="1" applyBorder="1" applyAlignment="1">
      <alignment horizontal="center"/>
    </xf>
    <xf numFmtId="166" fontId="5" fillId="0" borderId="49" xfId="0" applyNumberFormat="1" applyFont="1" applyBorder="1" applyAlignment="1">
      <alignment horizontal="center"/>
    </xf>
    <xf numFmtId="166" fontId="5" fillId="0" borderId="43" xfId="0" applyNumberFormat="1" applyFont="1" applyBorder="1" applyAlignment="1">
      <alignment horizontal="center"/>
    </xf>
    <xf numFmtId="0" fontId="0" fillId="3" borderId="54" xfId="0" applyFill="1" applyBorder="1" applyAlignment="1">
      <alignment horizontal="center"/>
    </xf>
    <xf numFmtId="167" fontId="0" fillId="3" borderId="54" xfId="0" applyNumberFormat="1" applyFill="1" applyBorder="1" applyAlignment="1">
      <alignment horizontal="center"/>
    </xf>
    <xf numFmtId="167" fontId="0" fillId="3" borderId="36" xfId="0" applyNumberFormat="1" applyFill="1" applyBorder="1" applyAlignment="1">
      <alignment horizontal="center"/>
    </xf>
    <xf numFmtId="164" fontId="16" fillId="0" borderId="39" xfId="0" applyNumberFormat="1" applyFont="1" applyBorder="1" applyAlignment="1">
      <alignment horizontal="center"/>
    </xf>
    <xf numFmtId="164" fontId="16" fillId="0" borderId="41" xfId="0" applyNumberFormat="1" applyFont="1" applyBorder="1" applyAlignment="1">
      <alignment horizontal="center"/>
    </xf>
    <xf numFmtId="0" fontId="5" fillId="0" borderId="58" xfId="0" applyFont="1" applyBorder="1" applyAlignment="1">
      <alignment horizontal="center"/>
    </xf>
    <xf numFmtId="0" fontId="5" fillId="0" borderId="39" xfId="0" applyFont="1" applyBorder="1" applyAlignment="1">
      <alignment horizontal="center"/>
    </xf>
    <xf numFmtId="0" fontId="9" fillId="0" borderId="47" xfId="0" applyFont="1" applyBorder="1" applyAlignment="1">
      <alignment horizontal="center"/>
    </xf>
    <xf numFmtId="0" fontId="13" fillId="0" borderId="46" xfId="0" applyFont="1" applyBorder="1" applyAlignment="1">
      <alignment horizontal="left"/>
    </xf>
    <xf numFmtId="0" fontId="13" fillId="0" borderId="47" xfId="0" applyFont="1" applyBorder="1" applyAlignment="1">
      <alignment horizontal="left"/>
    </xf>
    <xf numFmtId="0" fontId="13" fillId="0" borderId="58" xfId="0" applyFont="1" applyBorder="1" applyAlignment="1">
      <alignment horizontal="left"/>
    </xf>
    <xf numFmtId="0" fontId="13" fillId="0" borderId="39" xfId="0" applyFont="1" applyBorder="1" applyAlignment="1">
      <alignment horizontal="left"/>
    </xf>
    <xf numFmtId="164" fontId="16" fillId="0" borderId="49" xfId="0" applyNumberFormat="1" applyFont="1" applyBorder="1" applyAlignment="1">
      <alignment horizontal="center"/>
    </xf>
    <xf numFmtId="164" fontId="16" fillId="0" borderId="43" xfId="0" applyNumberFormat="1" applyFont="1" applyBorder="1" applyAlignment="1">
      <alignment horizontal="center"/>
    </xf>
    <xf numFmtId="164" fontId="0" fillId="0" borderId="47" xfId="0" applyNumberFormat="1" applyBorder="1" applyAlignment="1">
      <alignment horizontal="center"/>
    </xf>
    <xf numFmtId="164" fontId="0" fillId="0" borderId="48" xfId="0" applyNumberFormat="1" applyBorder="1" applyAlignment="1">
      <alignment horizontal="center"/>
    </xf>
    <xf numFmtId="0" fontId="9" fillId="0" borderId="13" xfId="0" applyFont="1" applyBorder="1" applyAlignment="1">
      <alignment horizontal="center"/>
    </xf>
    <xf numFmtId="0" fontId="9" fillId="0" borderId="42" xfId="0" applyFont="1" applyBorder="1" applyAlignment="1">
      <alignment horizontal="center"/>
    </xf>
    <xf numFmtId="0" fontId="9" fillId="0" borderId="43" xfId="0" applyFont="1" applyBorder="1" applyAlignment="1">
      <alignment horizontal="center"/>
    </xf>
    <xf numFmtId="0" fontId="0" fillId="0" borderId="13" xfId="0" applyBorder="1" applyAlignment="1">
      <alignment horizontal="center"/>
    </xf>
    <xf numFmtId="0" fontId="0" fillId="0" borderId="43" xfId="0" applyBorder="1" applyAlignment="1">
      <alignment horizontal="center"/>
    </xf>
    <xf numFmtId="164" fontId="0" fillId="0" borderId="39" xfId="0" applyNumberFormat="1" applyBorder="1" applyAlignment="1">
      <alignment horizontal="center"/>
    </xf>
    <xf numFmtId="164" fontId="0" fillId="0" borderId="41" xfId="0" applyNumberFormat="1" applyBorder="1" applyAlignment="1">
      <alignment horizontal="center"/>
    </xf>
    <xf numFmtId="164" fontId="0" fillId="0" borderId="64" xfId="0" applyNumberFormat="1" applyBorder="1" applyAlignment="1">
      <alignment horizontal="center"/>
    </xf>
    <xf numFmtId="164" fontId="0" fillId="0" borderId="65" xfId="0" applyNumberFormat="1" applyBorder="1" applyAlignment="1">
      <alignment horizontal="center"/>
    </xf>
    <xf numFmtId="0" fontId="3" fillId="0" borderId="44" xfId="0" applyFont="1" applyBorder="1" applyAlignment="1">
      <alignment horizontal="right"/>
    </xf>
    <xf numFmtId="0" fontId="3" fillId="0" borderId="2" xfId="0" applyFont="1" applyBorder="1" applyAlignment="1">
      <alignment horizontal="right"/>
    </xf>
    <xf numFmtId="0" fontId="9" fillId="0" borderId="8"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5" fillId="0" borderId="46" xfId="0" applyFont="1" applyBorder="1" applyAlignment="1">
      <alignment horizontal="center"/>
    </xf>
    <xf numFmtId="0" fontId="5" fillId="0" borderId="47" xfId="0" applyFont="1" applyBorder="1" applyAlignment="1">
      <alignment horizontal="center"/>
    </xf>
    <xf numFmtId="0" fontId="5" fillId="0" borderId="60" xfId="0" applyFont="1" applyBorder="1" applyAlignment="1">
      <alignment horizontal="center"/>
    </xf>
    <xf numFmtId="0" fontId="5" fillId="0" borderId="61" xfId="0" applyFont="1" applyBorder="1" applyAlignment="1">
      <alignment horizontal="center"/>
    </xf>
    <xf numFmtId="0" fontId="6" fillId="0" borderId="8"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55"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0" xfId="0" applyFont="1" applyBorder="1" applyAlignment="1">
      <alignment horizontal="center" vertical="center" wrapText="1"/>
    </xf>
    <xf numFmtId="0" fontId="6" fillId="0" borderId="56" xfId="0" applyFont="1" applyBorder="1" applyAlignment="1">
      <alignment horizontal="center" vertical="center" wrapText="1"/>
    </xf>
    <xf numFmtId="0" fontId="6" fillId="0" borderId="21" xfId="0" applyFont="1" applyBorder="1" applyAlignment="1">
      <alignment horizontal="center" vertical="center" wrapText="1"/>
    </xf>
    <xf numFmtId="164" fontId="14" fillId="0" borderId="26" xfId="0" applyNumberFormat="1" applyFont="1" applyBorder="1" applyAlignment="1">
      <alignment horizontal="center" vertical="center"/>
    </xf>
    <xf numFmtId="164" fontId="14" fillId="0" borderId="27" xfId="0" applyNumberFormat="1" applyFont="1" applyBorder="1" applyAlignment="1">
      <alignment horizontal="center" vertical="center"/>
    </xf>
    <xf numFmtId="164" fontId="14" fillId="0" borderId="1" xfId="0" applyNumberFormat="1" applyFont="1" applyBorder="1" applyAlignment="1">
      <alignment horizontal="center" vertical="center"/>
    </xf>
    <xf numFmtId="164" fontId="14" fillId="0" borderId="29" xfId="0" applyNumberFormat="1" applyFont="1" applyBorder="1" applyAlignment="1">
      <alignment horizontal="center" vertical="center"/>
    </xf>
    <xf numFmtId="164" fontId="14" fillId="0" borderId="54" xfId="0" applyNumberFormat="1" applyFont="1" applyBorder="1" applyAlignment="1">
      <alignment horizontal="center" vertical="center"/>
    </xf>
    <xf numFmtId="164" fontId="14" fillId="0" borderId="36" xfId="0" applyNumberFormat="1" applyFont="1" applyBorder="1" applyAlignment="1">
      <alignment horizontal="center" vertical="center"/>
    </xf>
    <xf numFmtId="0" fontId="9" fillId="0" borderId="58" xfId="0" applyFont="1" applyBorder="1" applyAlignment="1">
      <alignment horizontal="center"/>
    </xf>
    <xf numFmtId="0" fontId="0" fillId="0" borderId="39" xfId="0" applyBorder="1" applyAlignment="1">
      <alignment horizontal="center"/>
    </xf>
    <xf numFmtId="0" fontId="9" fillId="0" borderId="49" xfId="0" applyFont="1" applyBorder="1" applyAlignment="1">
      <alignment horizontal="center"/>
    </xf>
    <xf numFmtId="0" fontId="9" fillId="0" borderId="48" xfId="0" applyFont="1" applyBorder="1" applyAlignment="1">
      <alignment horizontal="center"/>
    </xf>
    <xf numFmtId="0" fontId="0" fillId="0" borderId="49" xfId="0" applyBorder="1" applyAlignment="1">
      <alignment horizontal="center"/>
    </xf>
    <xf numFmtId="10" fontId="5" fillId="0" borderId="47" xfId="0" applyNumberFormat="1" applyFont="1" applyBorder="1" applyAlignment="1">
      <alignment horizontal="center"/>
    </xf>
    <xf numFmtId="10" fontId="5" fillId="0" borderId="48" xfId="0" applyNumberFormat="1" applyFont="1" applyBorder="1" applyAlignment="1">
      <alignment horizontal="center"/>
    </xf>
    <xf numFmtId="9" fontId="0" fillId="3" borderId="44" xfId="0" applyNumberFormat="1" applyFill="1" applyBorder="1"/>
    <xf numFmtId="9" fontId="0" fillId="3" borderId="68" xfId="0" applyNumberFormat="1" applyFill="1" applyBorder="1"/>
    <xf numFmtId="164" fontId="0" fillId="3" borderId="12" xfId="0" applyNumberFormat="1" applyFill="1" applyBorder="1"/>
    <xf numFmtId="0" fontId="9" fillId="0" borderId="52" xfId="0" applyFont="1" applyBorder="1" applyAlignment="1">
      <alignment horizontal="center"/>
    </xf>
    <xf numFmtId="164" fontId="0" fillId="0" borderId="2" xfId="0" applyNumberFormat="1" applyBorder="1"/>
    <xf numFmtId="164" fontId="0" fillId="0" borderId="4" xfId="0" applyNumberFormat="1" applyBorder="1"/>
    <xf numFmtId="0" fontId="9" fillId="0" borderId="3" xfId="0" applyFont="1" applyBorder="1" applyAlignment="1">
      <alignment horizontal="center"/>
    </xf>
    <xf numFmtId="0" fontId="0" fillId="0" borderId="21" xfId="0" applyBorder="1"/>
    <xf numFmtId="14" fontId="0" fillId="0" borderId="21" xfId="0" applyNumberFormat="1" applyBorder="1"/>
    <xf numFmtId="164" fontId="0" fillId="0" borderId="34" xfId="0" applyNumberFormat="1" applyBorder="1"/>
    <xf numFmtId="164" fontId="0" fillId="0" borderId="45" xfId="0" applyNumberFormat="1" applyBorder="1"/>
    <xf numFmtId="164" fontId="0" fillId="0" borderId="14" xfId="0" applyNumberFormat="1" applyBorder="1"/>
    <xf numFmtId="164" fontId="0" fillId="0" borderId="7" xfId="0" applyNumberFormat="1" applyBorder="1"/>
    <xf numFmtId="164" fontId="0" fillId="0" borderId="69" xfId="0" applyNumberFormat="1" applyBorder="1"/>
    <xf numFmtId="164" fontId="9" fillId="0" borderId="45" xfId="0" applyNumberFormat="1" applyFont="1" applyBorder="1"/>
    <xf numFmtId="164" fontId="0" fillId="0" borderId="38" xfId="0" applyNumberFormat="1" applyBorder="1"/>
    <xf numFmtId="0" fontId="9" fillId="0" borderId="46" xfId="0" applyFont="1" applyBorder="1"/>
    <xf numFmtId="0" fontId="9" fillId="0" borderId="49" xfId="0" applyFont="1" applyFill="1" applyBorder="1"/>
    <xf numFmtId="0" fontId="9" fillId="0" borderId="13" xfId="0" applyFont="1" applyFill="1" applyBorder="1"/>
    <xf numFmtId="0" fontId="9" fillId="0" borderId="52" xfId="0" applyFont="1" applyBorder="1" applyAlignment="1">
      <alignment horizontal="center"/>
    </xf>
    <xf numFmtId="0" fontId="9" fillId="0" borderId="46" xfId="0" applyFont="1" applyFill="1" applyBorder="1"/>
    <xf numFmtId="0" fontId="9" fillId="0" borderId="48" xfId="0" applyFont="1" applyFill="1" applyBorder="1"/>
    <xf numFmtId="0" fontId="5" fillId="0" borderId="43" xfId="0" applyFont="1" applyBorder="1" applyAlignment="1">
      <alignment horizontal="center"/>
    </xf>
    <xf numFmtId="164" fontId="0" fillId="0" borderId="24" xfId="0" applyNumberFormat="1" applyBorder="1"/>
    <xf numFmtId="0" fontId="9" fillId="3" borderId="34" xfId="0" applyFont="1" applyFill="1" applyBorder="1"/>
    <xf numFmtId="9" fontId="0" fillId="3" borderId="45" xfId="0" applyNumberFormat="1" applyFill="1" applyBorder="1"/>
    <xf numFmtId="0" fontId="9" fillId="0" borderId="49" xfId="0" applyFont="1" applyBorder="1"/>
    <xf numFmtId="0" fontId="9" fillId="3" borderId="25" xfId="0" applyFont="1" applyFill="1" applyBorder="1"/>
    <xf numFmtId="10" fontId="0" fillId="3" borderId="1" xfId="0" applyNumberFormat="1" applyFill="1" applyBorder="1"/>
    <xf numFmtId="164" fontId="0" fillId="3" borderId="44" xfId="0" applyNumberFormat="1" applyFill="1" applyBorder="1"/>
    <xf numFmtId="0" fontId="9" fillId="3" borderId="70" xfId="0" applyFont="1" applyFill="1" applyBorder="1" applyAlignment="1">
      <alignment horizontal="center"/>
    </xf>
    <xf numFmtId="0" fontId="9" fillId="4" borderId="58" xfId="0" applyFont="1" applyFill="1" applyBorder="1"/>
    <xf numFmtId="164" fontId="9" fillId="4" borderId="39" xfId="0" applyNumberFormat="1" applyFont="1" applyFill="1" applyBorder="1"/>
    <xf numFmtId="10" fontId="0" fillId="3" borderId="26" xfId="0" applyNumberFormat="1" applyFill="1" applyBorder="1"/>
    <xf numFmtId="164" fontId="0" fillId="3" borderId="67" xfId="0" applyNumberFormat="1" applyFill="1" applyBorder="1"/>
    <xf numFmtId="0" fontId="9" fillId="4" borderId="66" xfId="0" applyFont="1" applyFill="1" applyBorder="1"/>
    <xf numFmtId="165" fontId="0" fillId="0" borderId="11" xfId="0" applyNumberFormat="1" applyBorder="1"/>
    <xf numFmtId="0" fontId="9" fillId="0" borderId="9" xfId="0" applyFont="1" applyFill="1" applyBorder="1" applyAlignment="1">
      <alignment horizontal="center"/>
    </xf>
    <xf numFmtId="165" fontId="0" fillId="0" borderId="3" xfId="0" applyNumberFormat="1" applyBorder="1"/>
    <xf numFmtId="165" fontId="0" fillId="0" borderId="9" xfId="0" applyNumberFormat="1" applyBorder="1"/>
    <xf numFmtId="0" fontId="0" fillId="0" borderId="3" xfId="0" applyBorder="1"/>
    <xf numFmtId="10" fontId="0" fillId="3" borderId="26" xfId="0" applyNumberFormat="1" applyFill="1" applyBorder="1" applyAlignment="1">
      <alignment horizontal="center"/>
    </xf>
    <xf numFmtId="10" fontId="0" fillId="3" borderId="27" xfId="0" applyNumberFormat="1" applyFill="1" applyBorder="1" applyAlignment="1">
      <alignment horizontal="center"/>
    </xf>
    <xf numFmtId="0" fontId="9" fillId="4" borderId="0" xfId="0" applyFont="1" applyFill="1" applyBorder="1" applyAlignment="1">
      <alignment horizontal="center"/>
    </xf>
    <xf numFmtId="10" fontId="0" fillId="3" borderId="54" xfId="0" applyNumberFormat="1" applyFill="1" applyBorder="1"/>
    <xf numFmtId="0" fontId="5" fillId="0" borderId="21" xfId="0" applyFont="1" applyBorder="1" applyAlignment="1">
      <alignment horizontal="center"/>
    </xf>
    <xf numFmtId="0" fontId="5" fillId="0" borderId="22" xfId="0" applyFont="1" applyBorder="1" applyAlignment="1">
      <alignment horizontal="center"/>
    </xf>
    <xf numFmtId="0" fontId="5" fillId="0" borderId="57" xfId="0" applyFont="1" applyBorder="1" applyAlignment="1">
      <alignment horizontal="center"/>
    </xf>
    <xf numFmtId="164" fontId="5" fillId="0" borderId="59" xfId="0" applyNumberFormat="1" applyFont="1" applyBorder="1" applyAlignment="1">
      <alignment horizontal="center"/>
    </xf>
    <xf numFmtId="164" fontId="5" fillId="0" borderId="23" xfId="0" applyNumberFormat="1" applyFont="1" applyBorder="1" applyAlignment="1">
      <alignment horizontal="center"/>
    </xf>
    <xf numFmtId="164" fontId="5" fillId="0" borderId="47" xfId="0" applyNumberFormat="1" applyFont="1" applyBorder="1" applyAlignment="1">
      <alignment horizontal="center"/>
    </xf>
    <xf numFmtId="164" fontId="5" fillId="0" borderId="48" xfId="0" applyNumberFormat="1" applyFont="1" applyBorder="1" applyAlignment="1">
      <alignment horizontal="center"/>
    </xf>
    <xf numFmtId="164" fontId="5" fillId="0" borderId="9" xfId="0" applyNumberFormat="1" applyFont="1" applyBorder="1"/>
  </cellXfs>
  <cellStyles count="1">
    <cellStyle name="Normal" xfId="0" builtinId="0"/>
  </cellStyles>
  <dxfs count="57">
    <dxf>
      <font>
        <color theme="0" tint="-0.499984740745262"/>
      </font>
      <fill>
        <patternFill>
          <bgColor theme="0" tint="-0.14996795556505021"/>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theme="0" tint="-0.499984740745262"/>
      </font>
      <fill>
        <patternFill>
          <bgColor theme="0" tint="-0.14996795556505021"/>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499984740745262"/>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tint="-0.499984740745262"/>
      </font>
      <fill>
        <patternFill>
          <bgColor theme="0" tint="-0.14996795556505021"/>
        </patternFill>
      </fill>
    </dxf>
    <dxf>
      <fill>
        <patternFill>
          <bgColor rgb="FFFF0000"/>
        </patternFill>
      </fill>
    </dxf>
    <dxf>
      <fill>
        <patternFill>
          <bgColor rgb="FFFF0000"/>
        </patternFill>
      </fill>
    </dxf>
    <dxf>
      <fill>
        <patternFill>
          <bgColor rgb="FFFF0000"/>
        </patternFill>
      </fill>
    </dxf>
    <dxf>
      <font>
        <color theme="0" tint="-0.499984740745262"/>
      </font>
      <fill>
        <patternFill>
          <bgColor theme="0" tint="-0.14996795556505021"/>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theme="0" tint="-0.499984740745262"/>
      </font>
      <fill>
        <patternFill>
          <bgColor theme="0" tint="-0.14996795556505021"/>
        </patternFill>
      </fill>
    </dxf>
    <dxf>
      <fill>
        <patternFill>
          <bgColor rgb="FFFF0000"/>
        </patternFill>
      </fill>
    </dxf>
    <dxf>
      <fill>
        <patternFill>
          <bgColor rgb="FFFFFF0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Balance</a:t>
            </a:r>
          </a:p>
        </c:rich>
      </c:tx>
      <c:layout>
        <c:manualLayout>
          <c:xMode val="edge"/>
          <c:yMode val="edge"/>
          <c:x val="0.43840174978127733"/>
          <c:y val="1.9575935361021049E-2"/>
        </c:manualLayout>
      </c:layout>
      <c:overlay val="0"/>
      <c:spPr>
        <a:noFill/>
        <a:ln w="25400">
          <a:noFill/>
        </a:ln>
      </c:spPr>
    </c:title>
    <c:autoTitleDeleted val="0"/>
    <c:plotArea>
      <c:layout>
        <c:manualLayout>
          <c:layoutTarget val="inner"/>
          <c:xMode val="edge"/>
          <c:yMode val="edge"/>
          <c:x val="8.2130965593784688E-2"/>
          <c:y val="0.12234910277324633"/>
          <c:w val="0.79911209766925639"/>
          <c:h val="0.80424143556280592"/>
        </c:manualLayout>
      </c:layout>
      <c:lineChart>
        <c:grouping val="standard"/>
        <c:varyColors val="0"/>
        <c:ser>
          <c:idx val="0"/>
          <c:order val="0"/>
          <c:spPr>
            <a:ln w="12700">
              <a:solidFill>
                <a:srgbClr val="000080"/>
              </a:solidFill>
              <a:prstDash val="solid"/>
            </a:ln>
          </c:spPr>
          <c:marker>
            <c:symbol val="none"/>
          </c:marker>
          <c:val>
            <c:numRef>
              <c:f>#REF!</c:f>
              <c:numCache>
                <c:formatCode>General</c:formatCode>
                <c:ptCount val="1"/>
                <c:pt idx="0">
                  <c:v>1</c:v>
                </c:pt>
              </c:numCache>
            </c:numRef>
          </c:val>
          <c:smooth val="0"/>
        </c:ser>
        <c:ser>
          <c:idx val="1"/>
          <c:order val="1"/>
          <c:spPr>
            <a:ln w="12700">
              <a:solidFill>
                <a:srgbClr val="FF00FF"/>
              </a:solidFill>
              <a:prstDash val="solid"/>
            </a:ln>
          </c:spPr>
          <c:marker>
            <c:symbol val="none"/>
          </c:marker>
          <c:val>
            <c:numRef>
              <c:f>#REF!</c:f>
              <c:numCache>
                <c:formatCode>General</c:formatCode>
                <c:ptCount val="1"/>
                <c:pt idx="0">
                  <c:v>1</c:v>
                </c:pt>
              </c:numCache>
            </c:numRef>
          </c:val>
          <c:smooth val="0"/>
        </c:ser>
        <c:dLbls>
          <c:showLegendKey val="0"/>
          <c:showVal val="0"/>
          <c:showCatName val="0"/>
          <c:showSerName val="0"/>
          <c:showPercent val="0"/>
          <c:showBubbleSize val="0"/>
        </c:dLbls>
        <c:marker val="1"/>
        <c:smooth val="0"/>
        <c:axId val="172981632"/>
        <c:axId val="172987904"/>
      </c:lineChart>
      <c:catAx>
        <c:axId val="17298163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Day</a:t>
                </a:r>
              </a:p>
            </c:rich>
          </c:tx>
          <c:layout>
            <c:manualLayout>
              <c:xMode val="edge"/>
              <c:yMode val="edge"/>
              <c:x val="0.46614873140857394"/>
              <c:y val="0.944535021357624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2987904"/>
        <c:crosses val="autoZero"/>
        <c:auto val="1"/>
        <c:lblAlgn val="ctr"/>
        <c:lblOffset val="100"/>
        <c:tickLblSkip val="14"/>
        <c:tickMarkSkip val="1"/>
        <c:noMultiLvlLbl val="0"/>
      </c:catAx>
      <c:valAx>
        <c:axId val="17298790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a:t>
                </a:r>
              </a:p>
            </c:rich>
          </c:tx>
          <c:layout>
            <c:manualLayout>
              <c:xMode val="edge"/>
              <c:yMode val="edge"/>
              <c:x val="1.2208573928258967E-2"/>
              <c:y val="0.515497401060161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2981632"/>
        <c:crosses val="autoZero"/>
        <c:crossBetween val="midCat"/>
      </c:valAx>
      <c:spPr>
        <a:solidFill>
          <a:srgbClr val="C0C0C0"/>
        </a:solidFill>
        <a:ln w="12700">
          <a:solidFill>
            <a:srgbClr val="808080"/>
          </a:solidFill>
          <a:prstDash val="solid"/>
        </a:ln>
      </c:spPr>
    </c:plotArea>
    <c:legend>
      <c:legendPos val="r"/>
      <c:layout>
        <c:manualLayout>
          <c:xMode val="edge"/>
          <c:yMode val="edge"/>
          <c:x val="0.90677025371828524"/>
          <c:y val="0.4893963254593176"/>
          <c:w val="8.8790201224846932E-2"/>
          <c:h val="7.0146844389549379E-2"/>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layout>
        <c:manualLayout>
          <c:xMode val="edge"/>
          <c:yMode val="edge"/>
          <c:x val="0.31967221049555183"/>
          <c:y val="0.10578987988449992"/>
        </c:manualLayout>
      </c:layout>
      <c:overlay val="1"/>
    </c:title>
    <c:autoTitleDeleted val="0"/>
    <c:plotArea>
      <c:layout>
        <c:manualLayout>
          <c:layoutTarget val="inner"/>
          <c:xMode val="edge"/>
          <c:yMode val="edge"/>
          <c:x val="8.4196584273682207E-2"/>
          <c:y val="1.7266342030834533E-2"/>
          <c:w val="0.89439073645206113"/>
          <c:h val="0.85761553152159486"/>
        </c:manualLayout>
      </c:layout>
      <c:areaChart>
        <c:grouping val="standard"/>
        <c:varyColors val="0"/>
        <c:ser>
          <c:idx val="0"/>
          <c:order val="0"/>
          <c:tx>
            <c:v>Growth pre-retirement</c:v>
          </c:tx>
          <c:cat>
            <c:numRef>
              <c:f>'Retirement Planning'!$M$10:$M$212</c:f>
              <c:numCache>
                <c:formatCode>0.0</c:formatCode>
                <c:ptCount val="203"/>
                <c:pt idx="0">
                  <c:v>43.2</c:v>
                </c:pt>
                <c:pt idx="1">
                  <c:v>43.3</c:v>
                </c:pt>
                <c:pt idx="2">
                  <c:v>43.4</c:v>
                </c:pt>
                <c:pt idx="3">
                  <c:v>43.5</c:v>
                </c:pt>
                <c:pt idx="4">
                  <c:v>43.5</c:v>
                </c:pt>
                <c:pt idx="5">
                  <c:v>43.6</c:v>
                </c:pt>
                <c:pt idx="6">
                  <c:v>43.7</c:v>
                </c:pt>
                <c:pt idx="7">
                  <c:v>43.8</c:v>
                </c:pt>
                <c:pt idx="8">
                  <c:v>43.9</c:v>
                </c:pt>
                <c:pt idx="9">
                  <c:v>44</c:v>
                </c:pt>
                <c:pt idx="10">
                  <c:v>44</c:v>
                </c:pt>
                <c:pt idx="11">
                  <c:v>44.1</c:v>
                </c:pt>
                <c:pt idx="12">
                  <c:v>44.2</c:v>
                </c:pt>
                <c:pt idx="13">
                  <c:v>44.3</c:v>
                </c:pt>
                <c:pt idx="14">
                  <c:v>44.4</c:v>
                </c:pt>
                <c:pt idx="15">
                  <c:v>44.5</c:v>
                </c:pt>
                <c:pt idx="16">
                  <c:v>44.5</c:v>
                </c:pt>
                <c:pt idx="17">
                  <c:v>44.6</c:v>
                </c:pt>
                <c:pt idx="18">
                  <c:v>44.7</c:v>
                </c:pt>
                <c:pt idx="19">
                  <c:v>44.8</c:v>
                </c:pt>
                <c:pt idx="20">
                  <c:v>44.9</c:v>
                </c:pt>
                <c:pt idx="21">
                  <c:v>45</c:v>
                </c:pt>
                <c:pt idx="22">
                  <c:v>45</c:v>
                </c:pt>
                <c:pt idx="23">
                  <c:v>45.1</c:v>
                </c:pt>
                <c:pt idx="24">
                  <c:v>45.2</c:v>
                </c:pt>
                <c:pt idx="25">
                  <c:v>45.3</c:v>
                </c:pt>
                <c:pt idx="26">
                  <c:v>45.4</c:v>
                </c:pt>
                <c:pt idx="27">
                  <c:v>45.5</c:v>
                </c:pt>
                <c:pt idx="28">
                  <c:v>45.5</c:v>
                </c:pt>
                <c:pt idx="29">
                  <c:v>45.6</c:v>
                </c:pt>
                <c:pt idx="30">
                  <c:v>45.7</c:v>
                </c:pt>
                <c:pt idx="31">
                  <c:v>45.8</c:v>
                </c:pt>
                <c:pt idx="32">
                  <c:v>45.9</c:v>
                </c:pt>
                <c:pt idx="33">
                  <c:v>46</c:v>
                </c:pt>
                <c:pt idx="34">
                  <c:v>46</c:v>
                </c:pt>
                <c:pt idx="35">
                  <c:v>46.1</c:v>
                </c:pt>
                <c:pt idx="36">
                  <c:v>46.2</c:v>
                </c:pt>
                <c:pt idx="37">
                  <c:v>46.3</c:v>
                </c:pt>
                <c:pt idx="38">
                  <c:v>46.4</c:v>
                </c:pt>
                <c:pt idx="39">
                  <c:v>46.5</c:v>
                </c:pt>
                <c:pt idx="40">
                  <c:v>46.5</c:v>
                </c:pt>
                <c:pt idx="41">
                  <c:v>46.6</c:v>
                </c:pt>
                <c:pt idx="42">
                  <c:v>46.7</c:v>
                </c:pt>
                <c:pt idx="43">
                  <c:v>46.8</c:v>
                </c:pt>
                <c:pt idx="44">
                  <c:v>46.9</c:v>
                </c:pt>
                <c:pt idx="45">
                  <c:v>47</c:v>
                </c:pt>
                <c:pt idx="46">
                  <c:v>47</c:v>
                </c:pt>
                <c:pt idx="47">
                  <c:v>47.1</c:v>
                </c:pt>
                <c:pt idx="48">
                  <c:v>47.2</c:v>
                </c:pt>
                <c:pt idx="49">
                  <c:v>47.3</c:v>
                </c:pt>
                <c:pt idx="50">
                  <c:v>47.4</c:v>
                </c:pt>
                <c:pt idx="51">
                  <c:v>47.5</c:v>
                </c:pt>
                <c:pt idx="52">
                  <c:v>47.5</c:v>
                </c:pt>
                <c:pt idx="53">
                  <c:v>47.6</c:v>
                </c:pt>
                <c:pt idx="54">
                  <c:v>47.7</c:v>
                </c:pt>
                <c:pt idx="55">
                  <c:v>47.8</c:v>
                </c:pt>
                <c:pt idx="56">
                  <c:v>47.9</c:v>
                </c:pt>
                <c:pt idx="57">
                  <c:v>48</c:v>
                </c:pt>
                <c:pt idx="58">
                  <c:v>48</c:v>
                </c:pt>
                <c:pt idx="59">
                  <c:v>48.1</c:v>
                </c:pt>
                <c:pt idx="60">
                  <c:v>48.2</c:v>
                </c:pt>
                <c:pt idx="61">
                  <c:v>48.3</c:v>
                </c:pt>
                <c:pt idx="62">
                  <c:v>48.4</c:v>
                </c:pt>
                <c:pt idx="63">
                  <c:v>48.5</c:v>
                </c:pt>
                <c:pt idx="64">
                  <c:v>48.5</c:v>
                </c:pt>
                <c:pt idx="65">
                  <c:v>48.6</c:v>
                </c:pt>
                <c:pt idx="66">
                  <c:v>48.7</c:v>
                </c:pt>
                <c:pt idx="67">
                  <c:v>48.8</c:v>
                </c:pt>
                <c:pt idx="68">
                  <c:v>48.9</c:v>
                </c:pt>
                <c:pt idx="69">
                  <c:v>49</c:v>
                </c:pt>
                <c:pt idx="70">
                  <c:v>49</c:v>
                </c:pt>
                <c:pt idx="71">
                  <c:v>49.1</c:v>
                </c:pt>
                <c:pt idx="72">
                  <c:v>49.2</c:v>
                </c:pt>
                <c:pt idx="73">
                  <c:v>49.3</c:v>
                </c:pt>
                <c:pt idx="74">
                  <c:v>49.4</c:v>
                </c:pt>
                <c:pt idx="75">
                  <c:v>49.5</c:v>
                </c:pt>
                <c:pt idx="76">
                  <c:v>49.5</c:v>
                </c:pt>
                <c:pt idx="77">
                  <c:v>49.6</c:v>
                </c:pt>
                <c:pt idx="78">
                  <c:v>49.7</c:v>
                </c:pt>
                <c:pt idx="79">
                  <c:v>49.8</c:v>
                </c:pt>
                <c:pt idx="80">
                  <c:v>49.9</c:v>
                </c:pt>
                <c:pt idx="81">
                  <c:v>50</c:v>
                </c:pt>
                <c:pt idx="82">
                  <c:v>50</c:v>
                </c:pt>
                <c:pt idx="83">
                  <c:v>50.1</c:v>
                </c:pt>
                <c:pt idx="84">
                  <c:v>50.2</c:v>
                </c:pt>
                <c:pt idx="85">
                  <c:v>50.3</c:v>
                </c:pt>
                <c:pt idx="86">
                  <c:v>50.4</c:v>
                </c:pt>
                <c:pt idx="87">
                  <c:v>50.5</c:v>
                </c:pt>
                <c:pt idx="88">
                  <c:v>50.5</c:v>
                </c:pt>
                <c:pt idx="89">
                  <c:v>50.6</c:v>
                </c:pt>
                <c:pt idx="90">
                  <c:v>50.7</c:v>
                </c:pt>
                <c:pt idx="91">
                  <c:v>50.8</c:v>
                </c:pt>
                <c:pt idx="92">
                  <c:v>50.9</c:v>
                </c:pt>
                <c:pt idx="93">
                  <c:v>51</c:v>
                </c:pt>
                <c:pt idx="94">
                  <c:v>51</c:v>
                </c:pt>
                <c:pt idx="95">
                  <c:v>51.1</c:v>
                </c:pt>
                <c:pt idx="96">
                  <c:v>51.2</c:v>
                </c:pt>
                <c:pt idx="97">
                  <c:v>51.3</c:v>
                </c:pt>
                <c:pt idx="98">
                  <c:v>51.4</c:v>
                </c:pt>
                <c:pt idx="99">
                  <c:v>51.5</c:v>
                </c:pt>
                <c:pt idx="100">
                  <c:v>51.5</c:v>
                </c:pt>
                <c:pt idx="101">
                  <c:v>51.6</c:v>
                </c:pt>
                <c:pt idx="102">
                  <c:v>51.7</c:v>
                </c:pt>
                <c:pt idx="103">
                  <c:v>51.8</c:v>
                </c:pt>
                <c:pt idx="104">
                  <c:v>51.9</c:v>
                </c:pt>
                <c:pt idx="105">
                  <c:v>52</c:v>
                </c:pt>
                <c:pt idx="106">
                  <c:v>52</c:v>
                </c:pt>
                <c:pt idx="107">
                  <c:v>52.1</c:v>
                </c:pt>
                <c:pt idx="108">
                  <c:v>52.2</c:v>
                </c:pt>
                <c:pt idx="109">
                  <c:v>52.3</c:v>
                </c:pt>
                <c:pt idx="110">
                  <c:v>52.4</c:v>
                </c:pt>
                <c:pt idx="111">
                  <c:v>52.5</c:v>
                </c:pt>
                <c:pt idx="112">
                  <c:v>52.5</c:v>
                </c:pt>
                <c:pt idx="113">
                  <c:v>52.6</c:v>
                </c:pt>
                <c:pt idx="114">
                  <c:v>52.7</c:v>
                </c:pt>
                <c:pt idx="115">
                  <c:v>52.8</c:v>
                </c:pt>
                <c:pt idx="116">
                  <c:v>52.9</c:v>
                </c:pt>
                <c:pt idx="117">
                  <c:v>53</c:v>
                </c:pt>
                <c:pt idx="118">
                  <c:v>53</c:v>
                </c:pt>
                <c:pt idx="119">
                  <c:v>53.1</c:v>
                </c:pt>
                <c:pt idx="120">
                  <c:v>53.2</c:v>
                </c:pt>
                <c:pt idx="121">
                  <c:v>53.3</c:v>
                </c:pt>
                <c:pt idx="122">
                  <c:v>53.4</c:v>
                </c:pt>
                <c:pt idx="123">
                  <c:v>53.5</c:v>
                </c:pt>
                <c:pt idx="124">
                  <c:v>53.5</c:v>
                </c:pt>
                <c:pt idx="125">
                  <c:v>53.6</c:v>
                </c:pt>
                <c:pt idx="126">
                  <c:v>53.7</c:v>
                </c:pt>
                <c:pt idx="127">
                  <c:v>53.8</c:v>
                </c:pt>
                <c:pt idx="128">
                  <c:v>53.9</c:v>
                </c:pt>
                <c:pt idx="129">
                  <c:v>54</c:v>
                </c:pt>
                <c:pt idx="130">
                  <c:v>54</c:v>
                </c:pt>
                <c:pt idx="131">
                  <c:v>54.1</c:v>
                </c:pt>
                <c:pt idx="132">
                  <c:v>54.2</c:v>
                </c:pt>
                <c:pt idx="133">
                  <c:v>54.3</c:v>
                </c:pt>
                <c:pt idx="134">
                  <c:v>54.4</c:v>
                </c:pt>
                <c:pt idx="135">
                  <c:v>54.5</c:v>
                </c:pt>
                <c:pt idx="136">
                  <c:v>54.5</c:v>
                </c:pt>
                <c:pt idx="137">
                  <c:v>54.6</c:v>
                </c:pt>
                <c:pt idx="138">
                  <c:v>54.7</c:v>
                </c:pt>
                <c:pt idx="139">
                  <c:v>54.8</c:v>
                </c:pt>
                <c:pt idx="140">
                  <c:v>54.9</c:v>
                </c:pt>
                <c:pt idx="141">
                  <c:v>55</c:v>
                </c:pt>
                <c:pt idx="142">
                  <c:v>55</c:v>
                </c:pt>
                <c:pt idx="143">
                  <c:v>55.1</c:v>
                </c:pt>
                <c:pt idx="144">
                  <c:v>55.2</c:v>
                </c:pt>
                <c:pt idx="145">
                  <c:v>55.3</c:v>
                </c:pt>
                <c:pt idx="146">
                  <c:v>55.4</c:v>
                </c:pt>
                <c:pt idx="147">
                  <c:v>55.5</c:v>
                </c:pt>
                <c:pt idx="148">
                  <c:v>55.5</c:v>
                </c:pt>
                <c:pt idx="149">
                  <c:v>55.6</c:v>
                </c:pt>
                <c:pt idx="150">
                  <c:v>55.7</c:v>
                </c:pt>
                <c:pt idx="151">
                  <c:v>55.8</c:v>
                </c:pt>
                <c:pt idx="152">
                  <c:v>55.9</c:v>
                </c:pt>
                <c:pt idx="153">
                  <c:v>56</c:v>
                </c:pt>
                <c:pt idx="154">
                  <c:v>56</c:v>
                </c:pt>
                <c:pt idx="155">
                  <c:v>56.1</c:v>
                </c:pt>
                <c:pt idx="156">
                  <c:v>56.2</c:v>
                </c:pt>
                <c:pt idx="157">
                  <c:v>56.3</c:v>
                </c:pt>
                <c:pt idx="158">
                  <c:v>56.4</c:v>
                </c:pt>
                <c:pt idx="159">
                  <c:v>56.5</c:v>
                </c:pt>
                <c:pt idx="160">
                  <c:v>56.5</c:v>
                </c:pt>
                <c:pt idx="161">
                  <c:v>56.6</c:v>
                </c:pt>
                <c:pt idx="162">
                  <c:v>56.7</c:v>
                </c:pt>
                <c:pt idx="163">
                  <c:v>56.8</c:v>
                </c:pt>
                <c:pt idx="164">
                  <c:v>56.9</c:v>
                </c:pt>
                <c:pt idx="165">
                  <c:v>57</c:v>
                </c:pt>
                <c:pt idx="166">
                  <c:v>57</c:v>
                </c:pt>
                <c:pt idx="167">
                  <c:v>57.1</c:v>
                </c:pt>
                <c:pt idx="168">
                  <c:v>57.2</c:v>
                </c:pt>
                <c:pt idx="169">
                  <c:v>57.3</c:v>
                </c:pt>
                <c:pt idx="170">
                  <c:v>57.4</c:v>
                </c:pt>
                <c:pt idx="171">
                  <c:v>57.5</c:v>
                </c:pt>
                <c:pt idx="172">
                  <c:v>57.5</c:v>
                </c:pt>
                <c:pt idx="173">
                  <c:v>57.6</c:v>
                </c:pt>
                <c:pt idx="174">
                  <c:v>57.7</c:v>
                </c:pt>
                <c:pt idx="175">
                  <c:v>57.8</c:v>
                </c:pt>
                <c:pt idx="176">
                  <c:v>57.9</c:v>
                </c:pt>
                <c:pt idx="177">
                  <c:v>58</c:v>
                </c:pt>
                <c:pt idx="178">
                  <c:v>58</c:v>
                </c:pt>
                <c:pt idx="179">
                  <c:v>58.1</c:v>
                </c:pt>
                <c:pt idx="180">
                  <c:v>58.2</c:v>
                </c:pt>
                <c:pt idx="181">
                  <c:v>58.3</c:v>
                </c:pt>
                <c:pt idx="182">
                  <c:v>58.4</c:v>
                </c:pt>
                <c:pt idx="183">
                  <c:v>58.5</c:v>
                </c:pt>
                <c:pt idx="184">
                  <c:v>58.5</c:v>
                </c:pt>
                <c:pt idx="185">
                  <c:v>58.6</c:v>
                </c:pt>
                <c:pt idx="186">
                  <c:v>58.7</c:v>
                </c:pt>
                <c:pt idx="187">
                  <c:v>58.8</c:v>
                </c:pt>
                <c:pt idx="188">
                  <c:v>58.9</c:v>
                </c:pt>
                <c:pt idx="189">
                  <c:v>59</c:v>
                </c:pt>
                <c:pt idx="190">
                  <c:v>59</c:v>
                </c:pt>
                <c:pt idx="191">
                  <c:v>59.1</c:v>
                </c:pt>
                <c:pt idx="192">
                  <c:v>59.2</c:v>
                </c:pt>
                <c:pt idx="193">
                  <c:v>59.3</c:v>
                </c:pt>
                <c:pt idx="194">
                  <c:v>59.4</c:v>
                </c:pt>
                <c:pt idx="195">
                  <c:v>59.5</c:v>
                </c:pt>
                <c:pt idx="196">
                  <c:v>59.5</c:v>
                </c:pt>
                <c:pt idx="197">
                  <c:v>59.6</c:v>
                </c:pt>
                <c:pt idx="198">
                  <c:v>59.7</c:v>
                </c:pt>
                <c:pt idx="199">
                  <c:v>59.8</c:v>
                </c:pt>
                <c:pt idx="200">
                  <c:v>59.9</c:v>
                </c:pt>
                <c:pt idx="201">
                  <c:v>60</c:v>
                </c:pt>
                <c:pt idx="202">
                  <c:v>60</c:v>
                </c:pt>
              </c:numCache>
            </c:numRef>
          </c:cat>
          <c:val>
            <c:numRef>
              <c:f>'Retirement Planning'!$X$10:$X$212</c:f>
              <c:numCache>
                <c:formatCode>"$"#,##0</c:formatCode>
                <c:ptCount val="203"/>
                <c:pt idx="0">
                  <c:v>309796.93</c:v>
                </c:pt>
                <c:pt idx="1">
                  <c:v>315460.84999999998</c:v>
                </c:pt>
                <c:pt idx="2">
                  <c:v>314832.39</c:v>
                </c:pt>
                <c:pt idx="3">
                  <c:v>326221.65999999997</c:v>
                </c:pt>
                <c:pt idx="4">
                  <c:v>331217</c:v>
                </c:pt>
                <c:pt idx="5">
                  <c:v>334291.34999999998</c:v>
                </c:pt>
                <c:pt idx="6">
                  <c:v>342258.19000000006</c:v>
                </c:pt>
                <c:pt idx="7">
                  <c:v>347511.88</c:v>
                </c:pt>
                <c:pt idx="8">
                  <c:v>346711.27</c:v>
                </c:pt>
                <c:pt idx="9">
                  <c:v>355850.99</c:v>
                </c:pt>
                <c:pt idx="10">
                  <c:v>352769.85000000003</c:v>
                </c:pt>
                <c:pt idx="11">
                  <c:v>359422.87000000005</c:v>
                </c:pt>
                <c:pt idx="12">
                  <c:v>367798</c:v>
                </c:pt>
                <c:pt idx="13">
                  <c:v>368454.13999999996</c:v>
                </c:pt>
                <c:pt idx="14">
                  <c:v>384328.75</c:v>
                </c:pt>
                <c:pt idx="15">
                  <c:v>388451.07864583336</c:v>
                </c:pt>
                <c:pt idx="16">
                  <c:v>392602.60711957462</c:v>
                </c:pt>
                <c:pt idx="17">
                  <c:v>396783.54225333827</c:v>
                </c:pt>
                <c:pt idx="18">
                  <c:v>400994.09234429948</c:v>
                </c:pt>
                <c:pt idx="19">
                  <c:v>405234.46716507158</c:v>
                </c:pt>
                <c:pt idx="20">
                  <c:v>409504.87797415751</c:v>
                </c:pt>
                <c:pt idx="21">
                  <c:v>413805.53752647439</c:v>
                </c:pt>
                <c:pt idx="22">
                  <c:v>418136.6600839537</c:v>
                </c:pt>
                <c:pt idx="23">
                  <c:v>422498.46142621496</c:v>
                </c:pt>
                <c:pt idx="24">
                  <c:v>426891.15886131732</c:v>
                </c:pt>
                <c:pt idx="25">
                  <c:v>431314.971236585</c:v>
                </c:pt>
                <c:pt idx="26">
                  <c:v>439983.48164326081</c:v>
                </c:pt>
                <c:pt idx="27">
                  <c:v>444500.03130490059</c:v>
                </c:pt>
                <c:pt idx="28">
                  <c:v>449048.57319331029</c:v>
                </c:pt>
                <c:pt idx="29">
                  <c:v>453629.33392009622</c:v>
                </c:pt>
                <c:pt idx="30">
                  <c:v>458242.54170203028</c:v>
                </c:pt>
                <c:pt idx="31">
                  <c:v>462888.42637241969</c:v>
                </c:pt>
                <c:pt idx="32">
                  <c:v>467567.21939255763</c:v>
                </c:pt>
                <c:pt idx="33">
                  <c:v>472279.15386325488</c:v>
                </c:pt>
                <c:pt idx="34">
                  <c:v>477024.4645364529</c:v>
                </c:pt>
                <c:pt idx="35">
                  <c:v>481803.38782691944</c:v>
                </c:pt>
                <c:pt idx="36">
                  <c:v>486616.16182402679</c:v>
                </c:pt>
                <c:pt idx="37">
                  <c:v>491463.02630361367</c:v>
                </c:pt>
                <c:pt idx="38">
                  <c:v>500620.78587408719</c:v>
                </c:pt>
                <c:pt idx="39">
                  <c:v>505566.8497740287</c:v>
                </c:pt>
                <c:pt idx="40">
                  <c:v>510547.94829326129</c:v>
                </c:pt>
                <c:pt idx="41">
                  <c:v>515564.32959367195</c:v>
                </c:pt>
                <c:pt idx="42">
                  <c:v>520616.24359496054</c:v>
                </c:pt>
                <c:pt idx="43">
                  <c:v>525703.94198709144</c:v>
                </c:pt>
                <c:pt idx="44">
                  <c:v>530827.67824283324</c:v>
                </c:pt>
                <c:pt idx="45">
                  <c:v>535987.70763038669</c:v>
                </c:pt>
                <c:pt idx="46">
                  <c:v>541184.28722610197</c:v>
                </c:pt>
                <c:pt idx="47">
                  <c:v>546417.67592728685</c:v>
                </c:pt>
                <c:pt idx="48">
                  <c:v>551688.13446510513</c:v>
                </c:pt>
                <c:pt idx="49">
                  <c:v>556995.92541756632</c:v>
                </c:pt>
                <c:pt idx="50">
                  <c:v>566682.02480377606</c:v>
                </c:pt>
                <c:pt idx="51">
                  <c:v>572096.02247946942</c:v>
                </c:pt>
                <c:pt idx="52">
                  <c:v>577548.36930536572</c:v>
                </c:pt>
                <c:pt idx="53">
                  <c:v>583039.33692127862</c:v>
                </c:pt>
                <c:pt idx="54">
                  <c:v>588569.19889113773</c:v>
                </c:pt>
                <c:pt idx="55">
                  <c:v>594138.23071661661</c:v>
                </c:pt>
                <c:pt idx="56">
                  <c:v>599746.70985085925</c:v>
                </c:pt>
                <c:pt idx="57">
                  <c:v>605394.91571230278</c:v>
                </c:pt>
                <c:pt idx="58">
                  <c:v>611083.12969859829</c:v>
                </c:pt>
                <c:pt idx="59">
                  <c:v>616811.63520063006</c:v>
                </c:pt>
                <c:pt idx="60">
                  <c:v>622580.71761663444</c:v>
                </c:pt>
                <c:pt idx="61">
                  <c:v>628390.66436641896</c:v>
                </c:pt>
                <c:pt idx="62">
                  <c:v>638647.58716056717</c:v>
                </c:pt>
                <c:pt idx="63">
                  <c:v>644571.34090295469</c:v>
                </c:pt>
                <c:pt idx="64">
                  <c:v>650537.05456768384</c:v>
                </c:pt>
                <c:pt idx="65">
                  <c:v>656545.02537087153</c:v>
                </c:pt>
                <c:pt idx="66">
                  <c:v>662595.55263391533</c:v>
                </c:pt>
                <c:pt idx="67">
                  <c:v>668688.93779840553</c:v>
                </c:pt>
                <c:pt idx="68">
                  <c:v>674825.48444114416</c:v>
                </c:pt>
                <c:pt idx="69">
                  <c:v>681005.49828926905</c:v>
                </c:pt>
                <c:pt idx="70">
                  <c:v>687229.28723548469</c:v>
                </c:pt>
                <c:pt idx="71">
                  <c:v>693497.16135340265</c:v>
                </c:pt>
                <c:pt idx="72">
                  <c:v>699892.76624632254</c:v>
                </c:pt>
                <c:pt idx="73">
                  <c:v>706333.67334056739</c:v>
                </c:pt>
                <c:pt idx="74">
                  <c:v>717292.11311543919</c:v>
                </c:pt>
                <c:pt idx="75">
                  <c:v>723856.26558334008</c:v>
                </c:pt>
                <c:pt idx="76">
                  <c:v>730466.91413122218</c:v>
                </c:pt>
                <c:pt idx="77">
                  <c:v>737124.38810631819</c:v>
                </c:pt>
                <c:pt idx="78">
                  <c:v>743829.01918873796</c:v>
                </c:pt>
                <c:pt idx="79">
                  <c:v>750581.14140799164</c:v>
                </c:pt>
                <c:pt idx="80">
                  <c:v>757381.0911596315</c:v>
                </c:pt>
                <c:pt idx="81">
                  <c:v>764145.87388867885</c:v>
                </c:pt>
                <c:pt idx="82">
                  <c:v>770958.57382872375</c:v>
                </c:pt>
                <c:pt idx="83">
                  <c:v>777819.53039334388</c:v>
                </c:pt>
                <c:pt idx="84">
                  <c:v>784729.08540029661</c:v>
                </c:pt>
                <c:pt idx="85">
                  <c:v>791687.58308854874</c:v>
                </c:pt>
                <c:pt idx="86">
                  <c:v>803234.35836796602</c:v>
                </c:pt>
                <c:pt idx="87">
                  <c:v>810323.93507307244</c:v>
                </c:pt>
                <c:pt idx="88">
                  <c:v>817463.72961317329</c:v>
                </c:pt>
                <c:pt idx="89">
                  <c:v>824654.09769793332</c:v>
                </c:pt>
                <c:pt idx="90">
                  <c:v>831895.39755662705</c:v>
                </c:pt>
                <c:pt idx="91">
                  <c:v>839187.9899559865</c:v>
                </c:pt>
                <c:pt idx="92">
                  <c:v>846532.23821817478</c:v>
                </c:pt>
                <c:pt idx="93">
                  <c:v>888428.50823888672</c:v>
                </c:pt>
                <c:pt idx="94">
                  <c:v>895877.168505579</c:v>
                </c:pt>
                <c:pt idx="95">
                  <c:v>903378.59011582669</c:v>
                </c:pt>
                <c:pt idx="96">
                  <c:v>910933.14679581381</c:v>
                </c:pt>
                <c:pt idx="97">
                  <c:v>920041.21491895081</c:v>
                </c:pt>
                <c:pt idx="98">
                  <c:v>932310.24658065499</c:v>
                </c:pt>
                <c:pt idx="99">
                  <c:v>940059.11082726775</c:v>
                </c:pt>
                <c:pt idx="100">
                  <c:v>947862.86286229431</c:v>
                </c:pt>
                <c:pt idx="101">
                  <c:v>955721.89147423557</c:v>
                </c:pt>
                <c:pt idx="102">
                  <c:v>963636.58820551133</c:v>
                </c:pt>
                <c:pt idx="103">
                  <c:v>971607.34737196704</c:v>
                </c:pt>
                <c:pt idx="104">
                  <c:v>979634.56608251855</c:v>
                </c:pt>
                <c:pt idx="105">
                  <c:v>987718.64425893629</c:v>
                </c:pt>
                <c:pt idx="106">
                  <c:v>995859.98465577047</c:v>
                </c:pt>
                <c:pt idx="107">
                  <c:v>1004058.9928804155</c:v>
                </c:pt>
                <c:pt idx="108">
                  <c:v>1012316.0774133187</c:v>
                </c:pt>
                <c:pt idx="109">
                  <c:v>1022131.6496283296</c:v>
                </c:pt>
                <c:pt idx="110">
                  <c:v>1035182.3029650655</c:v>
                </c:pt>
                <c:pt idx="111">
                  <c:v>1043649.2192777346</c:v>
                </c:pt>
                <c:pt idx="112">
                  <c:v>1052176.1095809517</c:v>
                </c:pt>
                <c:pt idx="113">
                  <c:v>1060763.3986904835</c:v>
                </c:pt>
                <c:pt idx="114">
                  <c:v>1069411.5144312079</c:v>
                </c:pt>
                <c:pt idx="115">
                  <c:v>1078120.8876584291</c:v>
                </c:pt>
                <c:pt idx="116">
                  <c:v>1086891.9522793428</c:v>
                </c:pt>
                <c:pt idx="117">
                  <c:v>1095725.1452746547</c:v>
                </c:pt>
                <c:pt idx="118">
                  <c:v>1104620.9067203505</c:v>
                </c:pt>
                <c:pt idx="119">
                  <c:v>1113579.6798096194</c:v>
                </c:pt>
                <c:pt idx="120">
                  <c:v>1122601.9108749377</c:v>
                </c:pt>
                <c:pt idx="121">
                  <c:v>1133188.0494103017</c:v>
                </c:pt>
                <c:pt idx="122">
                  <c:v>1147084.8699327714</c:v>
                </c:pt>
                <c:pt idx="123">
                  <c:v>1156333.8044281285</c:v>
                </c:pt>
                <c:pt idx="124">
                  <c:v>1165648.2522094944</c:v>
                </c:pt>
                <c:pt idx="125">
                  <c:v>1175028.6773293116</c:v>
                </c:pt>
                <c:pt idx="126">
                  <c:v>1184475.5471270613</c:v>
                </c:pt>
                <c:pt idx="127">
                  <c:v>1193989.3322525446</c:v>
                </c:pt>
                <c:pt idx="128">
                  <c:v>1203570.5066893334</c:v>
                </c:pt>
                <c:pt idx="129">
                  <c:v>1213219.5477783829</c:v>
                </c:pt>
                <c:pt idx="130">
                  <c:v>1222936.936241813</c:v>
                </c:pt>
                <c:pt idx="131">
                  <c:v>1232723.156206859</c:v>
                </c:pt>
                <c:pt idx="132">
                  <c:v>1242662.0285633244</c:v>
                </c:pt>
                <c:pt idx="133">
                  <c:v>1254171.3012656479</c:v>
                </c:pt>
                <c:pt idx="134">
                  <c:v>1269068.9896496802</c:v>
                </c:pt>
                <c:pt idx="135">
                  <c:v>1279254.6866596984</c:v>
                </c:pt>
                <c:pt idx="136">
                  <c:v>1289512.5323568715</c:v>
                </c:pt>
                <c:pt idx="137">
                  <c:v>1299843.0377943993</c:v>
                </c:pt>
                <c:pt idx="138">
                  <c:v>1310246.7176454428</c:v>
                </c:pt>
                <c:pt idx="139">
                  <c:v>1320724.0902287648</c:v>
                </c:pt>
                <c:pt idx="140">
                  <c:v>1331275.6775345518</c:v>
                </c:pt>
                <c:pt idx="141">
                  <c:v>1341902.0052504216</c:v>
                </c:pt>
                <c:pt idx="142">
                  <c:v>1352603.602787612</c:v>
                </c:pt>
                <c:pt idx="143">
                  <c:v>1363381.0033073577</c:v>
                </c:pt>
                <c:pt idx="144">
                  <c:v>1374234.7437474516</c:v>
                </c:pt>
                <c:pt idx="145">
                  <c:v>1386665.364848996</c:v>
                </c:pt>
                <c:pt idx="146">
                  <c:v>1402563.1906000781</c:v>
                </c:pt>
                <c:pt idx="147">
                  <c:v>1413683.8465334952</c:v>
                </c:pt>
                <c:pt idx="148">
                  <c:v>1424883.2737797741</c:v>
                </c:pt>
                <c:pt idx="149">
                  <c:v>1436162.0303023811</c:v>
                </c:pt>
                <c:pt idx="150">
                  <c:v>1447520.6780170226</c:v>
                </c:pt>
                <c:pt idx="151">
                  <c:v>1458959.7828196434</c:v>
                </c:pt>
                <c:pt idx="152">
                  <c:v>1470479.9146146157</c:v>
                </c:pt>
                <c:pt idx="153">
                  <c:v>1482081.6473431359</c:v>
                </c:pt>
                <c:pt idx="154">
                  <c:v>1493765.5590118165</c:v>
                </c:pt>
                <c:pt idx="155">
                  <c:v>1505532.2317214834</c:v>
                </c:pt>
                <c:pt idx="156">
                  <c:v>1517382.2516961773</c:v>
                </c:pt>
                <c:pt idx="157">
                  <c:v>1530816.2093123586</c:v>
                </c:pt>
                <c:pt idx="158">
                  <c:v>1547797.825236307</c:v>
                </c:pt>
                <c:pt idx="159">
                  <c:v>1559936.6014983975</c:v>
                </c:pt>
                <c:pt idx="160">
                  <c:v>1572161.3607590112</c:v>
                </c:pt>
                <c:pt idx="161">
                  <c:v>1584472.7120643873</c:v>
                </c:pt>
                <c:pt idx="162">
                  <c:v>1596871.2687748435</c:v>
                </c:pt>
                <c:pt idx="163">
                  <c:v>1609357.6485953322</c:v>
                </c:pt>
                <c:pt idx="164">
                  <c:v>1621932.4736062158</c:v>
                </c:pt>
                <c:pt idx="165">
                  <c:v>1634596.3702942596</c:v>
                </c:pt>
                <c:pt idx="166">
                  <c:v>1647349.9695838441</c:v>
                </c:pt>
                <c:pt idx="167">
                  <c:v>1660193.9068683963</c:v>
                </c:pt>
                <c:pt idx="168">
                  <c:v>1673128.8220420475</c:v>
                </c:pt>
                <c:pt idx="169">
                  <c:v>1687655.3595315118</c:v>
                </c:pt>
                <c:pt idx="170">
                  <c:v>1705811.7413277992</c:v>
                </c:pt>
                <c:pt idx="171">
                  <c:v>1719059.1578288712</c:v>
                </c:pt>
                <c:pt idx="172">
                  <c:v>1732400.4101968256</c:v>
                </c:pt>
                <c:pt idx="173">
                  <c:v>1745836.1631023865</c:v>
                </c:pt>
                <c:pt idx="174">
                  <c:v>1759367.0859243614</c:v>
                </c:pt>
                <c:pt idx="175">
                  <c:v>1772993.8527829924</c:v>
                </c:pt>
                <c:pt idx="176">
                  <c:v>1786717.1425735385</c:v>
                </c:pt>
                <c:pt idx="177">
                  <c:v>1800537.639000101</c:v>
                </c:pt>
                <c:pt idx="178">
                  <c:v>1814456.030609685</c:v>
                </c:pt>
                <c:pt idx="179">
                  <c:v>1828473.0108265039</c:v>
                </c:pt>
                <c:pt idx="180">
                  <c:v>1842589.2779865251</c:v>
                </c:pt>
                <c:pt idx="181">
                  <c:v>1858305.5353722628</c:v>
                </c:pt>
                <c:pt idx="182">
                  <c:v>1877735.6278424158</c:v>
                </c:pt>
                <c:pt idx="183">
                  <c:v>1892190.213539633</c:v>
                </c:pt>
                <c:pt idx="184">
                  <c:v>1906747.185885539</c:v>
                </c:pt>
                <c:pt idx="185">
                  <c:v>1921407.270118895</c:v>
                </c:pt>
                <c:pt idx="186">
                  <c:v>1936171.1966155702</c:v>
                </c:pt>
                <c:pt idx="187">
                  <c:v>1951039.7009249306</c:v>
                </c:pt>
                <c:pt idx="188">
                  <c:v>1966013.5238064821</c:v>
                </c:pt>
                <c:pt idx="189">
                  <c:v>1981093.4112667779</c:v>
                </c:pt>
                <c:pt idx="190">
                  <c:v>1996280.1145965843</c:v>
                </c:pt>
                <c:pt idx="191">
                  <c:v>2011574.3904083103</c:v>
                </c:pt>
                <c:pt idx="192">
                  <c:v>2026977.0006737025</c:v>
                </c:pt>
                <c:pt idx="193">
                  <c:v>2043988.712761808</c:v>
                </c:pt>
                <c:pt idx="194">
                  <c:v>2064800.1331207226</c:v>
                </c:pt>
                <c:pt idx="195">
                  <c:v>2080569.1340636611</c:v>
                </c:pt>
                <c:pt idx="196">
                  <c:v>2096449.8320966123</c:v>
                </c:pt>
                <c:pt idx="197">
                  <c:v>2112443.0184072964</c:v>
                </c:pt>
                <c:pt idx="198">
                  <c:v>2128549.489787681</c:v>
                </c:pt>
                <c:pt idx="199">
                  <c:v>2144770.0486736773</c:v>
                </c:pt>
                <c:pt idx="200">
                  <c:v>2161105.5031851158</c:v>
                </c:pt>
                <c:pt idx="201">
                  <c:v>2177556.6671660109</c:v>
                </c:pt>
                <c:pt idx="202">
                  <c:v>2194124.3602251033</c:v>
                </c:pt>
              </c:numCache>
            </c:numRef>
          </c:val>
        </c:ser>
        <c:dLbls>
          <c:showLegendKey val="0"/>
          <c:showVal val="0"/>
          <c:showCatName val="0"/>
          <c:showSerName val="0"/>
          <c:showPercent val="0"/>
          <c:showBubbleSize val="0"/>
        </c:dLbls>
        <c:axId val="176922624"/>
        <c:axId val="176924544"/>
      </c:areaChart>
      <c:catAx>
        <c:axId val="176922624"/>
        <c:scaling>
          <c:orientation val="minMax"/>
        </c:scaling>
        <c:delete val="0"/>
        <c:axPos val="b"/>
        <c:title>
          <c:tx>
            <c:rich>
              <a:bodyPr/>
              <a:lstStyle/>
              <a:p>
                <a:pPr>
                  <a:defRPr/>
                </a:pPr>
                <a:r>
                  <a:rPr lang="en-US"/>
                  <a:t>AGE</a:t>
                </a:r>
              </a:p>
            </c:rich>
          </c:tx>
          <c:layout/>
          <c:overlay val="0"/>
        </c:title>
        <c:numFmt formatCode="0.0" sourceLinked="1"/>
        <c:majorTickMark val="out"/>
        <c:minorTickMark val="none"/>
        <c:tickLblPos val="nextTo"/>
        <c:crossAx val="176924544"/>
        <c:crosses val="autoZero"/>
        <c:auto val="1"/>
        <c:lblAlgn val="ctr"/>
        <c:lblOffset val="100"/>
        <c:noMultiLvlLbl val="0"/>
      </c:catAx>
      <c:valAx>
        <c:axId val="176924544"/>
        <c:scaling>
          <c:orientation val="minMax"/>
        </c:scaling>
        <c:delete val="0"/>
        <c:axPos val="l"/>
        <c:majorGridlines/>
        <c:numFmt formatCode="&quot;$&quot;#,##0" sourceLinked="1"/>
        <c:majorTickMark val="out"/>
        <c:minorTickMark val="none"/>
        <c:tickLblPos val="nextTo"/>
        <c:crossAx val="17692262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areaChart>
        <c:grouping val="standard"/>
        <c:varyColors val="0"/>
        <c:ser>
          <c:idx val="1"/>
          <c:order val="0"/>
          <c:tx>
            <c:v>Retirement Drawdown</c:v>
          </c:tx>
          <c:spPr>
            <a:solidFill>
              <a:srgbClr val="00B050"/>
            </a:solidFill>
          </c:spPr>
          <c:dLbls>
            <c:delete val="1"/>
          </c:dLbls>
          <c:cat>
            <c:numRef>
              <c:f>'Projected Retirement Drawdown'!$B$10:$B$505</c:f>
              <c:numCache>
                <c:formatCode>0.0</c:formatCode>
                <c:ptCount val="496"/>
                <c:pt idx="0" formatCode="General">
                  <c:v>56.3</c:v>
                </c:pt>
                <c:pt idx="1">
                  <c:v>56.4</c:v>
                </c:pt>
                <c:pt idx="2">
                  <c:v>56.5</c:v>
                </c:pt>
                <c:pt idx="3">
                  <c:v>56.5</c:v>
                </c:pt>
                <c:pt idx="4">
                  <c:v>56.6</c:v>
                </c:pt>
                <c:pt idx="5">
                  <c:v>56.7</c:v>
                </c:pt>
                <c:pt idx="6">
                  <c:v>56.8</c:v>
                </c:pt>
                <c:pt idx="7">
                  <c:v>56.9</c:v>
                </c:pt>
                <c:pt idx="8">
                  <c:v>57</c:v>
                </c:pt>
                <c:pt idx="9">
                  <c:v>57</c:v>
                </c:pt>
                <c:pt idx="10">
                  <c:v>57.1</c:v>
                </c:pt>
                <c:pt idx="11">
                  <c:v>57.2</c:v>
                </c:pt>
                <c:pt idx="12">
                  <c:v>57.3</c:v>
                </c:pt>
                <c:pt idx="13">
                  <c:v>57.4</c:v>
                </c:pt>
                <c:pt idx="14">
                  <c:v>57.5</c:v>
                </c:pt>
                <c:pt idx="15">
                  <c:v>57.5</c:v>
                </c:pt>
                <c:pt idx="16">
                  <c:v>57.6</c:v>
                </c:pt>
                <c:pt idx="17">
                  <c:v>57.7</c:v>
                </c:pt>
                <c:pt idx="18">
                  <c:v>57.8</c:v>
                </c:pt>
                <c:pt idx="19">
                  <c:v>57.9</c:v>
                </c:pt>
                <c:pt idx="20">
                  <c:v>58</c:v>
                </c:pt>
                <c:pt idx="21">
                  <c:v>58</c:v>
                </c:pt>
                <c:pt idx="22">
                  <c:v>58.1</c:v>
                </c:pt>
                <c:pt idx="23">
                  <c:v>58.2</c:v>
                </c:pt>
                <c:pt idx="24">
                  <c:v>58.3</c:v>
                </c:pt>
                <c:pt idx="25">
                  <c:v>58.4</c:v>
                </c:pt>
                <c:pt idx="26">
                  <c:v>58.5</c:v>
                </c:pt>
                <c:pt idx="27">
                  <c:v>58.5</c:v>
                </c:pt>
                <c:pt idx="28">
                  <c:v>58.6</c:v>
                </c:pt>
                <c:pt idx="29">
                  <c:v>58.7</c:v>
                </c:pt>
                <c:pt idx="30">
                  <c:v>58.8</c:v>
                </c:pt>
                <c:pt idx="31">
                  <c:v>58.9</c:v>
                </c:pt>
                <c:pt idx="32">
                  <c:v>59</c:v>
                </c:pt>
                <c:pt idx="33">
                  <c:v>59</c:v>
                </c:pt>
                <c:pt idx="34">
                  <c:v>59.1</c:v>
                </c:pt>
                <c:pt idx="35">
                  <c:v>59.2</c:v>
                </c:pt>
                <c:pt idx="36">
                  <c:v>59.3</c:v>
                </c:pt>
                <c:pt idx="37">
                  <c:v>59.4</c:v>
                </c:pt>
                <c:pt idx="38">
                  <c:v>59.5</c:v>
                </c:pt>
                <c:pt idx="39">
                  <c:v>59.5</c:v>
                </c:pt>
                <c:pt idx="40">
                  <c:v>59.6</c:v>
                </c:pt>
                <c:pt idx="41">
                  <c:v>59.7</c:v>
                </c:pt>
                <c:pt idx="42">
                  <c:v>59.8</c:v>
                </c:pt>
                <c:pt idx="43">
                  <c:v>59.9</c:v>
                </c:pt>
                <c:pt idx="44">
                  <c:v>60</c:v>
                </c:pt>
                <c:pt idx="45">
                  <c:v>60</c:v>
                </c:pt>
                <c:pt idx="46">
                  <c:v>60.1</c:v>
                </c:pt>
                <c:pt idx="47">
                  <c:v>60.2</c:v>
                </c:pt>
                <c:pt idx="48">
                  <c:v>60.3</c:v>
                </c:pt>
                <c:pt idx="49">
                  <c:v>60.4</c:v>
                </c:pt>
                <c:pt idx="50">
                  <c:v>60.5</c:v>
                </c:pt>
                <c:pt idx="51">
                  <c:v>60.5</c:v>
                </c:pt>
                <c:pt idx="52">
                  <c:v>60.6</c:v>
                </c:pt>
                <c:pt idx="53">
                  <c:v>60.7</c:v>
                </c:pt>
                <c:pt idx="54">
                  <c:v>60.8</c:v>
                </c:pt>
                <c:pt idx="55">
                  <c:v>60.9</c:v>
                </c:pt>
                <c:pt idx="56">
                  <c:v>61</c:v>
                </c:pt>
                <c:pt idx="57">
                  <c:v>61</c:v>
                </c:pt>
                <c:pt idx="58">
                  <c:v>61.1</c:v>
                </c:pt>
                <c:pt idx="59">
                  <c:v>61.2</c:v>
                </c:pt>
                <c:pt idx="60">
                  <c:v>61.3</c:v>
                </c:pt>
                <c:pt idx="61">
                  <c:v>61.4</c:v>
                </c:pt>
                <c:pt idx="62">
                  <c:v>61.5</c:v>
                </c:pt>
                <c:pt idx="63">
                  <c:v>61.5</c:v>
                </c:pt>
                <c:pt idx="64">
                  <c:v>61.6</c:v>
                </c:pt>
                <c:pt idx="65">
                  <c:v>61.7</c:v>
                </c:pt>
                <c:pt idx="66">
                  <c:v>61.8</c:v>
                </c:pt>
                <c:pt idx="67">
                  <c:v>61.9</c:v>
                </c:pt>
                <c:pt idx="68">
                  <c:v>62</c:v>
                </c:pt>
                <c:pt idx="69">
                  <c:v>62</c:v>
                </c:pt>
                <c:pt idx="70">
                  <c:v>62.1</c:v>
                </c:pt>
                <c:pt idx="71">
                  <c:v>62.2</c:v>
                </c:pt>
                <c:pt idx="72">
                  <c:v>62.3</c:v>
                </c:pt>
                <c:pt idx="73">
                  <c:v>62.4</c:v>
                </c:pt>
                <c:pt idx="74">
                  <c:v>62.5</c:v>
                </c:pt>
                <c:pt idx="75">
                  <c:v>62.5</c:v>
                </c:pt>
                <c:pt idx="76">
                  <c:v>62.6</c:v>
                </c:pt>
                <c:pt idx="77">
                  <c:v>62.7</c:v>
                </c:pt>
                <c:pt idx="78">
                  <c:v>62.8</c:v>
                </c:pt>
                <c:pt idx="79">
                  <c:v>62.9</c:v>
                </c:pt>
                <c:pt idx="80">
                  <c:v>63</c:v>
                </c:pt>
                <c:pt idx="81">
                  <c:v>63</c:v>
                </c:pt>
                <c:pt idx="82">
                  <c:v>63.1</c:v>
                </c:pt>
                <c:pt idx="83">
                  <c:v>63.2</c:v>
                </c:pt>
                <c:pt idx="84">
                  <c:v>63.3</c:v>
                </c:pt>
                <c:pt idx="85">
                  <c:v>63.4</c:v>
                </c:pt>
                <c:pt idx="86">
                  <c:v>63.5</c:v>
                </c:pt>
                <c:pt idx="87">
                  <c:v>63.5</c:v>
                </c:pt>
                <c:pt idx="88">
                  <c:v>63.6</c:v>
                </c:pt>
                <c:pt idx="89">
                  <c:v>63.7</c:v>
                </c:pt>
                <c:pt idx="90">
                  <c:v>63.8</c:v>
                </c:pt>
                <c:pt idx="91">
                  <c:v>63.9</c:v>
                </c:pt>
                <c:pt idx="92">
                  <c:v>64</c:v>
                </c:pt>
                <c:pt idx="93">
                  <c:v>64</c:v>
                </c:pt>
                <c:pt idx="94">
                  <c:v>64.099999999999994</c:v>
                </c:pt>
                <c:pt idx="95">
                  <c:v>64.2</c:v>
                </c:pt>
                <c:pt idx="96">
                  <c:v>64.3</c:v>
                </c:pt>
                <c:pt idx="97">
                  <c:v>64.400000000000006</c:v>
                </c:pt>
                <c:pt idx="98">
                  <c:v>64.5</c:v>
                </c:pt>
                <c:pt idx="99">
                  <c:v>64.5</c:v>
                </c:pt>
                <c:pt idx="100">
                  <c:v>64.599999999999994</c:v>
                </c:pt>
                <c:pt idx="101">
                  <c:v>64.7</c:v>
                </c:pt>
                <c:pt idx="102">
                  <c:v>64.8</c:v>
                </c:pt>
                <c:pt idx="103">
                  <c:v>64.900000000000006</c:v>
                </c:pt>
                <c:pt idx="104">
                  <c:v>65</c:v>
                </c:pt>
                <c:pt idx="105">
                  <c:v>65</c:v>
                </c:pt>
                <c:pt idx="106">
                  <c:v>65.099999999999994</c:v>
                </c:pt>
                <c:pt idx="107">
                  <c:v>65.2</c:v>
                </c:pt>
                <c:pt idx="108">
                  <c:v>65.3</c:v>
                </c:pt>
                <c:pt idx="109">
                  <c:v>65.400000000000006</c:v>
                </c:pt>
                <c:pt idx="110">
                  <c:v>65.5</c:v>
                </c:pt>
                <c:pt idx="111">
                  <c:v>65.5</c:v>
                </c:pt>
                <c:pt idx="112">
                  <c:v>65.599999999999994</c:v>
                </c:pt>
                <c:pt idx="113">
                  <c:v>65.7</c:v>
                </c:pt>
                <c:pt idx="114">
                  <c:v>65.8</c:v>
                </c:pt>
                <c:pt idx="115">
                  <c:v>65.900000000000006</c:v>
                </c:pt>
                <c:pt idx="116">
                  <c:v>66</c:v>
                </c:pt>
                <c:pt idx="117">
                  <c:v>66</c:v>
                </c:pt>
                <c:pt idx="118">
                  <c:v>66.099999999999994</c:v>
                </c:pt>
                <c:pt idx="119">
                  <c:v>66.2</c:v>
                </c:pt>
                <c:pt idx="120">
                  <c:v>66.3</c:v>
                </c:pt>
                <c:pt idx="121">
                  <c:v>66.400000000000006</c:v>
                </c:pt>
                <c:pt idx="122">
                  <c:v>66.5</c:v>
                </c:pt>
                <c:pt idx="123">
                  <c:v>66.5</c:v>
                </c:pt>
                <c:pt idx="124">
                  <c:v>66.599999999999994</c:v>
                </c:pt>
                <c:pt idx="125">
                  <c:v>66.7</c:v>
                </c:pt>
                <c:pt idx="126">
                  <c:v>66.8</c:v>
                </c:pt>
                <c:pt idx="127">
                  <c:v>66.900000000000006</c:v>
                </c:pt>
                <c:pt idx="128">
                  <c:v>67</c:v>
                </c:pt>
                <c:pt idx="129">
                  <c:v>67</c:v>
                </c:pt>
                <c:pt idx="130">
                  <c:v>67.099999999999994</c:v>
                </c:pt>
                <c:pt idx="131">
                  <c:v>67.2</c:v>
                </c:pt>
                <c:pt idx="132">
                  <c:v>67.3</c:v>
                </c:pt>
                <c:pt idx="133">
                  <c:v>67.400000000000006</c:v>
                </c:pt>
                <c:pt idx="134">
                  <c:v>67.5</c:v>
                </c:pt>
                <c:pt idx="135">
                  <c:v>67.5</c:v>
                </c:pt>
                <c:pt idx="136">
                  <c:v>67.599999999999994</c:v>
                </c:pt>
                <c:pt idx="137">
                  <c:v>67.7</c:v>
                </c:pt>
                <c:pt idx="138">
                  <c:v>67.8</c:v>
                </c:pt>
                <c:pt idx="139">
                  <c:v>67.900000000000006</c:v>
                </c:pt>
                <c:pt idx="140">
                  <c:v>68</c:v>
                </c:pt>
                <c:pt idx="141">
                  <c:v>68</c:v>
                </c:pt>
                <c:pt idx="142">
                  <c:v>68.099999999999994</c:v>
                </c:pt>
                <c:pt idx="143">
                  <c:v>68.2</c:v>
                </c:pt>
                <c:pt idx="144">
                  <c:v>68.3</c:v>
                </c:pt>
                <c:pt idx="145">
                  <c:v>68.400000000000006</c:v>
                </c:pt>
                <c:pt idx="146">
                  <c:v>68.5</c:v>
                </c:pt>
                <c:pt idx="147">
                  <c:v>68.5</c:v>
                </c:pt>
                <c:pt idx="148">
                  <c:v>68.599999999999994</c:v>
                </c:pt>
                <c:pt idx="149">
                  <c:v>68.7</c:v>
                </c:pt>
                <c:pt idx="150">
                  <c:v>68.8</c:v>
                </c:pt>
                <c:pt idx="151">
                  <c:v>68.900000000000006</c:v>
                </c:pt>
                <c:pt idx="152">
                  <c:v>69</c:v>
                </c:pt>
                <c:pt idx="153">
                  <c:v>69</c:v>
                </c:pt>
                <c:pt idx="154">
                  <c:v>69.099999999999994</c:v>
                </c:pt>
                <c:pt idx="155">
                  <c:v>69.2</c:v>
                </c:pt>
                <c:pt idx="156">
                  <c:v>69.3</c:v>
                </c:pt>
                <c:pt idx="157">
                  <c:v>69.400000000000006</c:v>
                </c:pt>
                <c:pt idx="158">
                  <c:v>69.5</c:v>
                </c:pt>
                <c:pt idx="159">
                  <c:v>69.5</c:v>
                </c:pt>
                <c:pt idx="160">
                  <c:v>69.599999999999994</c:v>
                </c:pt>
                <c:pt idx="161">
                  <c:v>69.7</c:v>
                </c:pt>
                <c:pt idx="162">
                  <c:v>69.8</c:v>
                </c:pt>
                <c:pt idx="163">
                  <c:v>69.900000000000006</c:v>
                </c:pt>
                <c:pt idx="164">
                  <c:v>70</c:v>
                </c:pt>
                <c:pt idx="165">
                  <c:v>70</c:v>
                </c:pt>
                <c:pt idx="166">
                  <c:v>70.099999999999994</c:v>
                </c:pt>
                <c:pt idx="167">
                  <c:v>70.2</c:v>
                </c:pt>
                <c:pt idx="168">
                  <c:v>70.3</c:v>
                </c:pt>
                <c:pt idx="169">
                  <c:v>70.400000000000006</c:v>
                </c:pt>
                <c:pt idx="170">
                  <c:v>70.5</c:v>
                </c:pt>
                <c:pt idx="171">
                  <c:v>70.5</c:v>
                </c:pt>
                <c:pt idx="172">
                  <c:v>70.599999999999994</c:v>
                </c:pt>
                <c:pt idx="173">
                  <c:v>70.7</c:v>
                </c:pt>
                <c:pt idx="174">
                  <c:v>70.8</c:v>
                </c:pt>
                <c:pt idx="175">
                  <c:v>70.900000000000006</c:v>
                </c:pt>
                <c:pt idx="176">
                  <c:v>71</c:v>
                </c:pt>
                <c:pt idx="177">
                  <c:v>71</c:v>
                </c:pt>
                <c:pt idx="178">
                  <c:v>71.099999999999994</c:v>
                </c:pt>
                <c:pt idx="179">
                  <c:v>71.2</c:v>
                </c:pt>
                <c:pt idx="180">
                  <c:v>71.3</c:v>
                </c:pt>
                <c:pt idx="181">
                  <c:v>71.400000000000006</c:v>
                </c:pt>
                <c:pt idx="182">
                  <c:v>71.5</c:v>
                </c:pt>
                <c:pt idx="183">
                  <c:v>71.5</c:v>
                </c:pt>
                <c:pt idx="184">
                  <c:v>71.599999999999994</c:v>
                </c:pt>
                <c:pt idx="185">
                  <c:v>71.7</c:v>
                </c:pt>
                <c:pt idx="186">
                  <c:v>71.8</c:v>
                </c:pt>
                <c:pt idx="187">
                  <c:v>71.900000000000006</c:v>
                </c:pt>
                <c:pt idx="188">
                  <c:v>72</c:v>
                </c:pt>
                <c:pt idx="189">
                  <c:v>72</c:v>
                </c:pt>
                <c:pt idx="190">
                  <c:v>72.099999999999994</c:v>
                </c:pt>
                <c:pt idx="191">
                  <c:v>72.2</c:v>
                </c:pt>
                <c:pt idx="192">
                  <c:v>72.3</c:v>
                </c:pt>
                <c:pt idx="193">
                  <c:v>72.400000000000006</c:v>
                </c:pt>
                <c:pt idx="194">
                  <c:v>72.5</c:v>
                </c:pt>
                <c:pt idx="195">
                  <c:v>72.5</c:v>
                </c:pt>
                <c:pt idx="196">
                  <c:v>72.599999999999994</c:v>
                </c:pt>
                <c:pt idx="197">
                  <c:v>72.7</c:v>
                </c:pt>
                <c:pt idx="198">
                  <c:v>72.8</c:v>
                </c:pt>
                <c:pt idx="199">
                  <c:v>72.900000000000006</c:v>
                </c:pt>
                <c:pt idx="200">
                  <c:v>73</c:v>
                </c:pt>
                <c:pt idx="201">
                  <c:v>73</c:v>
                </c:pt>
                <c:pt idx="202">
                  <c:v>73.099999999999994</c:v>
                </c:pt>
                <c:pt idx="203">
                  <c:v>73.2</c:v>
                </c:pt>
                <c:pt idx="204">
                  <c:v>73.3</c:v>
                </c:pt>
                <c:pt idx="205">
                  <c:v>73.400000000000006</c:v>
                </c:pt>
                <c:pt idx="206">
                  <c:v>73.5</c:v>
                </c:pt>
                <c:pt idx="207">
                  <c:v>73.5</c:v>
                </c:pt>
                <c:pt idx="208">
                  <c:v>73.599999999999994</c:v>
                </c:pt>
                <c:pt idx="209">
                  <c:v>73.7</c:v>
                </c:pt>
                <c:pt idx="210">
                  <c:v>73.8</c:v>
                </c:pt>
                <c:pt idx="211">
                  <c:v>73.900000000000006</c:v>
                </c:pt>
                <c:pt idx="212">
                  <c:v>74</c:v>
                </c:pt>
                <c:pt idx="213">
                  <c:v>74</c:v>
                </c:pt>
                <c:pt idx="214">
                  <c:v>74.099999999999994</c:v>
                </c:pt>
                <c:pt idx="215">
                  <c:v>74.2</c:v>
                </c:pt>
                <c:pt idx="216">
                  <c:v>74.3</c:v>
                </c:pt>
                <c:pt idx="217">
                  <c:v>74.400000000000006</c:v>
                </c:pt>
                <c:pt idx="218">
                  <c:v>74.5</c:v>
                </c:pt>
                <c:pt idx="219">
                  <c:v>74.5</c:v>
                </c:pt>
                <c:pt idx="220">
                  <c:v>74.599999999999994</c:v>
                </c:pt>
                <c:pt idx="221">
                  <c:v>74.7</c:v>
                </c:pt>
                <c:pt idx="222">
                  <c:v>74.8</c:v>
                </c:pt>
                <c:pt idx="223">
                  <c:v>74.900000000000006</c:v>
                </c:pt>
                <c:pt idx="224">
                  <c:v>75</c:v>
                </c:pt>
                <c:pt idx="225">
                  <c:v>75</c:v>
                </c:pt>
                <c:pt idx="226">
                  <c:v>75.099999999999994</c:v>
                </c:pt>
                <c:pt idx="227">
                  <c:v>75.2</c:v>
                </c:pt>
                <c:pt idx="228">
                  <c:v>75.3</c:v>
                </c:pt>
                <c:pt idx="229">
                  <c:v>75.400000000000006</c:v>
                </c:pt>
                <c:pt idx="230">
                  <c:v>75.5</c:v>
                </c:pt>
                <c:pt idx="231">
                  <c:v>75.5</c:v>
                </c:pt>
                <c:pt idx="232">
                  <c:v>75.599999999999994</c:v>
                </c:pt>
                <c:pt idx="233">
                  <c:v>75.7</c:v>
                </c:pt>
                <c:pt idx="234">
                  <c:v>75.8</c:v>
                </c:pt>
                <c:pt idx="235">
                  <c:v>75.900000000000006</c:v>
                </c:pt>
                <c:pt idx="236">
                  <c:v>76</c:v>
                </c:pt>
                <c:pt idx="237">
                  <c:v>76</c:v>
                </c:pt>
                <c:pt idx="238">
                  <c:v>76.099999999999994</c:v>
                </c:pt>
                <c:pt idx="239">
                  <c:v>76.2</c:v>
                </c:pt>
                <c:pt idx="240">
                  <c:v>76.3</c:v>
                </c:pt>
                <c:pt idx="241">
                  <c:v>76.400000000000006</c:v>
                </c:pt>
                <c:pt idx="242">
                  <c:v>76.5</c:v>
                </c:pt>
                <c:pt idx="243">
                  <c:v>76.5</c:v>
                </c:pt>
                <c:pt idx="244">
                  <c:v>76.599999999999994</c:v>
                </c:pt>
                <c:pt idx="245">
                  <c:v>76.7</c:v>
                </c:pt>
                <c:pt idx="246">
                  <c:v>76.8</c:v>
                </c:pt>
                <c:pt idx="247">
                  <c:v>76.900000000000006</c:v>
                </c:pt>
                <c:pt idx="248">
                  <c:v>77</c:v>
                </c:pt>
                <c:pt idx="249">
                  <c:v>77</c:v>
                </c:pt>
                <c:pt idx="250">
                  <c:v>77.099999999999994</c:v>
                </c:pt>
                <c:pt idx="251">
                  <c:v>77.2</c:v>
                </c:pt>
                <c:pt idx="252">
                  <c:v>77.3</c:v>
                </c:pt>
                <c:pt idx="253">
                  <c:v>77.400000000000006</c:v>
                </c:pt>
                <c:pt idx="254">
                  <c:v>77.5</c:v>
                </c:pt>
                <c:pt idx="255">
                  <c:v>77.5</c:v>
                </c:pt>
                <c:pt idx="256">
                  <c:v>77.599999999999994</c:v>
                </c:pt>
                <c:pt idx="257">
                  <c:v>77.7</c:v>
                </c:pt>
                <c:pt idx="258">
                  <c:v>77.8</c:v>
                </c:pt>
                <c:pt idx="259">
                  <c:v>77.900000000000006</c:v>
                </c:pt>
                <c:pt idx="260">
                  <c:v>78</c:v>
                </c:pt>
                <c:pt idx="261">
                  <c:v>78</c:v>
                </c:pt>
                <c:pt idx="262">
                  <c:v>78.099999999999994</c:v>
                </c:pt>
                <c:pt idx="263">
                  <c:v>78.2</c:v>
                </c:pt>
                <c:pt idx="264">
                  <c:v>78.3</c:v>
                </c:pt>
                <c:pt idx="265">
                  <c:v>78.400000000000006</c:v>
                </c:pt>
                <c:pt idx="266">
                  <c:v>78.5</c:v>
                </c:pt>
                <c:pt idx="267">
                  <c:v>78.5</c:v>
                </c:pt>
                <c:pt idx="268">
                  <c:v>78.599999999999994</c:v>
                </c:pt>
                <c:pt idx="269">
                  <c:v>78.7</c:v>
                </c:pt>
                <c:pt idx="270">
                  <c:v>78.8</c:v>
                </c:pt>
                <c:pt idx="271">
                  <c:v>78.900000000000006</c:v>
                </c:pt>
                <c:pt idx="272">
                  <c:v>79</c:v>
                </c:pt>
                <c:pt idx="273">
                  <c:v>79</c:v>
                </c:pt>
                <c:pt idx="274">
                  <c:v>79.099999999999994</c:v>
                </c:pt>
                <c:pt idx="275">
                  <c:v>79.2</c:v>
                </c:pt>
                <c:pt idx="276">
                  <c:v>79.3</c:v>
                </c:pt>
                <c:pt idx="277">
                  <c:v>79.400000000000006</c:v>
                </c:pt>
                <c:pt idx="278">
                  <c:v>79.5</c:v>
                </c:pt>
                <c:pt idx="279">
                  <c:v>79.5</c:v>
                </c:pt>
                <c:pt idx="280">
                  <c:v>79.599999999999994</c:v>
                </c:pt>
                <c:pt idx="281">
                  <c:v>79.7</c:v>
                </c:pt>
                <c:pt idx="282">
                  <c:v>79.8</c:v>
                </c:pt>
                <c:pt idx="283">
                  <c:v>79.900000000000006</c:v>
                </c:pt>
                <c:pt idx="284">
                  <c:v>80</c:v>
                </c:pt>
                <c:pt idx="285">
                  <c:v>80</c:v>
                </c:pt>
                <c:pt idx="286">
                  <c:v>80.099999999999994</c:v>
                </c:pt>
                <c:pt idx="287">
                  <c:v>80.2</c:v>
                </c:pt>
                <c:pt idx="288">
                  <c:v>80.3</c:v>
                </c:pt>
                <c:pt idx="289">
                  <c:v>80.400000000000006</c:v>
                </c:pt>
                <c:pt idx="290">
                  <c:v>80.5</c:v>
                </c:pt>
                <c:pt idx="291">
                  <c:v>80.5</c:v>
                </c:pt>
                <c:pt idx="292">
                  <c:v>80.599999999999994</c:v>
                </c:pt>
                <c:pt idx="293">
                  <c:v>80.7</c:v>
                </c:pt>
                <c:pt idx="294">
                  <c:v>80.8</c:v>
                </c:pt>
                <c:pt idx="295">
                  <c:v>80.900000000000006</c:v>
                </c:pt>
                <c:pt idx="296">
                  <c:v>81</c:v>
                </c:pt>
                <c:pt idx="297">
                  <c:v>81</c:v>
                </c:pt>
                <c:pt idx="298">
                  <c:v>81.099999999999994</c:v>
                </c:pt>
                <c:pt idx="299">
                  <c:v>81.2</c:v>
                </c:pt>
                <c:pt idx="300">
                  <c:v>81.3</c:v>
                </c:pt>
                <c:pt idx="301">
                  <c:v>81.400000000000006</c:v>
                </c:pt>
                <c:pt idx="302">
                  <c:v>81.5</c:v>
                </c:pt>
                <c:pt idx="303">
                  <c:v>81.5</c:v>
                </c:pt>
                <c:pt idx="304">
                  <c:v>81.599999999999994</c:v>
                </c:pt>
                <c:pt idx="305">
                  <c:v>81.7</c:v>
                </c:pt>
                <c:pt idx="306">
                  <c:v>81.8</c:v>
                </c:pt>
                <c:pt idx="307">
                  <c:v>81.900000000000006</c:v>
                </c:pt>
                <c:pt idx="308">
                  <c:v>82</c:v>
                </c:pt>
                <c:pt idx="309">
                  <c:v>82</c:v>
                </c:pt>
                <c:pt idx="310">
                  <c:v>82.1</c:v>
                </c:pt>
                <c:pt idx="311">
                  <c:v>82.2</c:v>
                </c:pt>
                <c:pt idx="312">
                  <c:v>82.3</c:v>
                </c:pt>
                <c:pt idx="313">
                  <c:v>82.4</c:v>
                </c:pt>
                <c:pt idx="314">
                  <c:v>82.5</c:v>
                </c:pt>
                <c:pt idx="315">
                  <c:v>82.5</c:v>
                </c:pt>
                <c:pt idx="316">
                  <c:v>82.6</c:v>
                </c:pt>
                <c:pt idx="317">
                  <c:v>82.7</c:v>
                </c:pt>
                <c:pt idx="318">
                  <c:v>82.8</c:v>
                </c:pt>
                <c:pt idx="319">
                  <c:v>82.9</c:v>
                </c:pt>
                <c:pt idx="320">
                  <c:v>83</c:v>
                </c:pt>
                <c:pt idx="321">
                  <c:v>83</c:v>
                </c:pt>
                <c:pt idx="322">
                  <c:v>83.1</c:v>
                </c:pt>
                <c:pt idx="323">
                  <c:v>83.2</c:v>
                </c:pt>
                <c:pt idx="324">
                  <c:v>83.3</c:v>
                </c:pt>
                <c:pt idx="325">
                  <c:v>83.4</c:v>
                </c:pt>
                <c:pt idx="326">
                  <c:v>83.5</c:v>
                </c:pt>
                <c:pt idx="327">
                  <c:v>83.5</c:v>
                </c:pt>
                <c:pt idx="328">
                  <c:v>83.6</c:v>
                </c:pt>
                <c:pt idx="329">
                  <c:v>83.7</c:v>
                </c:pt>
                <c:pt idx="330">
                  <c:v>83.8</c:v>
                </c:pt>
                <c:pt idx="331">
                  <c:v>83.9</c:v>
                </c:pt>
                <c:pt idx="332">
                  <c:v>84</c:v>
                </c:pt>
                <c:pt idx="333">
                  <c:v>84</c:v>
                </c:pt>
                <c:pt idx="334">
                  <c:v>84.1</c:v>
                </c:pt>
                <c:pt idx="335">
                  <c:v>84.2</c:v>
                </c:pt>
                <c:pt idx="336">
                  <c:v>84.3</c:v>
                </c:pt>
                <c:pt idx="337">
                  <c:v>84.4</c:v>
                </c:pt>
                <c:pt idx="338">
                  <c:v>84.5</c:v>
                </c:pt>
                <c:pt idx="339">
                  <c:v>84.5</c:v>
                </c:pt>
                <c:pt idx="340">
                  <c:v>84.6</c:v>
                </c:pt>
                <c:pt idx="341">
                  <c:v>84.7</c:v>
                </c:pt>
                <c:pt idx="342">
                  <c:v>84.8</c:v>
                </c:pt>
                <c:pt idx="343">
                  <c:v>84.9</c:v>
                </c:pt>
                <c:pt idx="344">
                  <c:v>85</c:v>
                </c:pt>
                <c:pt idx="345">
                  <c:v>85</c:v>
                </c:pt>
                <c:pt idx="346">
                  <c:v>85.1</c:v>
                </c:pt>
                <c:pt idx="347">
                  <c:v>85.2</c:v>
                </c:pt>
                <c:pt idx="348">
                  <c:v>85.3</c:v>
                </c:pt>
                <c:pt idx="349">
                  <c:v>85.4</c:v>
                </c:pt>
                <c:pt idx="350">
                  <c:v>85.5</c:v>
                </c:pt>
                <c:pt idx="351">
                  <c:v>85.5</c:v>
                </c:pt>
                <c:pt idx="352">
                  <c:v>85.6</c:v>
                </c:pt>
                <c:pt idx="353">
                  <c:v>85.7</c:v>
                </c:pt>
                <c:pt idx="354">
                  <c:v>85.8</c:v>
                </c:pt>
                <c:pt idx="355">
                  <c:v>85.9</c:v>
                </c:pt>
                <c:pt idx="356">
                  <c:v>86</c:v>
                </c:pt>
                <c:pt idx="357">
                  <c:v>86</c:v>
                </c:pt>
                <c:pt idx="358">
                  <c:v>86.1</c:v>
                </c:pt>
                <c:pt idx="359">
                  <c:v>86.2</c:v>
                </c:pt>
                <c:pt idx="360">
                  <c:v>86.3</c:v>
                </c:pt>
                <c:pt idx="361">
                  <c:v>86.4</c:v>
                </c:pt>
                <c:pt idx="362">
                  <c:v>86.5</c:v>
                </c:pt>
                <c:pt idx="363">
                  <c:v>86.5</c:v>
                </c:pt>
                <c:pt idx="364">
                  <c:v>86.6</c:v>
                </c:pt>
                <c:pt idx="365">
                  <c:v>86.7</c:v>
                </c:pt>
                <c:pt idx="366">
                  <c:v>86.8</c:v>
                </c:pt>
                <c:pt idx="367">
                  <c:v>86.9</c:v>
                </c:pt>
                <c:pt idx="368">
                  <c:v>87</c:v>
                </c:pt>
                <c:pt idx="369">
                  <c:v>87</c:v>
                </c:pt>
                <c:pt idx="370">
                  <c:v>87.1</c:v>
                </c:pt>
                <c:pt idx="371">
                  <c:v>87.2</c:v>
                </c:pt>
                <c:pt idx="372">
                  <c:v>87.3</c:v>
                </c:pt>
                <c:pt idx="373">
                  <c:v>87.4</c:v>
                </c:pt>
                <c:pt idx="374">
                  <c:v>87.5</c:v>
                </c:pt>
                <c:pt idx="375">
                  <c:v>87.5</c:v>
                </c:pt>
                <c:pt idx="376">
                  <c:v>87.6</c:v>
                </c:pt>
                <c:pt idx="377">
                  <c:v>87.7</c:v>
                </c:pt>
                <c:pt idx="378">
                  <c:v>87.8</c:v>
                </c:pt>
                <c:pt idx="379">
                  <c:v>87.9</c:v>
                </c:pt>
                <c:pt idx="380">
                  <c:v>88</c:v>
                </c:pt>
                <c:pt idx="381">
                  <c:v>88</c:v>
                </c:pt>
                <c:pt idx="382">
                  <c:v>88.1</c:v>
                </c:pt>
                <c:pt idx="383">
                  <c:v>88.2</c:v>
                </c:pt>
                <c:pt idx="384">
                  <c:v>88.3</c:v>
                </c:pt>
                <c:pt idx="385">
                  <c:v>88.4</c:v>
                </c:pt>
                <c:pt idx="386">
                  <c:v>88.5</c:v>
                </c:pt>
                <c:pt idx="387">
                  <c:v>88.5</c:v>
                </c:pt>
                <c:pt idx="388">
                  <c:v>88.6</c:v>
                </c:pt>
                <c:pt idx="389">
                  <c:v>88.7</c:v>
                </c:pt>
                <c:pt idx="390">
                  <c:v>88.8</c:v>
                </c:pt>
                <c:pt idx="391">
                  <c:v>88.9</c:v>
                </c:pt>
                <c:pt idx="392">
                  <c:v>89</c:v>
                </c:pt>
                <c:pt idx="393">
                  <c:v>89</c:v>
                </c:pt>
                <c:pt idx="394">
                  <c:v>89.1</c:v>
                </c:pt>
                <c:pt idx="395">
                  <c:v>89.2</c:v>
                </c:pt>
                <c:pt idx="396">
                  <c:v>89.3</c:v>
                </c:pt>
                <c:pt idx="397">
                  <c:v>89.4</c:v>
                </c:pt>
                <c:pt idx="398">
                  <c:v>89.5</c:v>
                </c:pt>
                <c:pt idx="399">
                  <c:v>89.5</c:v>
                </c:pt>
                <c:pt idx="400">
                  <c:v>89.6</c:v>
                </c:pt>
                <c:pt idx="401">
                  <c:v>89.7</c:v>
                </c:pt>
                <c:pt idx="402">
                  <c:v>89.8</c:v>
                </c:pt>
                <c:pt idx="403">
                  <c:v>89.9</c:v>
                </c:pt>
                <c:pt idx="404">
                  <c:v>90</c:v>
                </c:pt>
                <c:pt idx="405">
                  <c:v>90</c:v>
                </c:pt>
                <c:pt idx="406">
                  <c:v>90.1</c:v>
                </c:pt>
                <c:pt idx="407">
                  <c:v>90.2</c:v>
                </c:pt>
                <c:pt idx="408">
                  <c:v>90.3</c:v>
                </c:pt>
                <c:pt idx="409">
                  <c:v>90.4</c:v>
                </c:pt>
                <c:pt idx="410">
                  <c:v>90.5</c:v>
                </c:pt>
                <c:pt idx="411">
                  <c:v>90.5</c:v>
                </c:pt>
                <c:pt idx="412">
                  <c:v>90.6</c:v>
                </c:pt>
                <c:pt idx="413">
                  <c:v>90.7</c:v>
                </c:pt>
                <c:pt idx="414">
                  <c:v>90.8</c:v>
                </c:pt>
                <c:pt idx="415">
                  <c:v>90.9</c:v>
                </c:pt>
                <c:pt idx="416">
                  <c:v>91</c:v>
                </c:pt>
                <c:pt idx="417">
                  <c:v>91</c:v>
                </c:pt>
                <c:pt idx="418">
                  <c:v>91.1</c:v>
                </c:pt>
                <c:pt idx="419">
                  <c:v>91.2</c:v>
                </c:pt>
                <c:pt idx="420">
                  <c:v>91.3</c:v>
                </c:pt>
                <c:pt idx="421">
                  <c:v>91.4</c:v>
                </c:pt>
                <c:pt idx="422">
                  <c:v>91.5</c:v>
                </c:pt>
                <c:pt idx="423">
                  <c:v>91.5</c:v>
                </c:pt>
                <c:pt idx="424">
                  <c:v>91.6</c:v>
                </c:pt>
                <c:pt idx="425">
                  <c:v>91.7</c:v>
                </c:pt>
                <c:pt idx="426">
                  <c:v>91.8</c:v>
                </c:pt>
                <c:pt idx="427">
                  <c:v>91.9</c:v>
                </c:pt>
                <c:pt idx="428">
                  <c:v>92</c:v>
                </c:pt>
                <c:pt idx="429">
                  <c:v>92</c:v>
                </c:pt>
                <c:pt idx="430">
                  <c:v>92.1</c:v>
                </c:pt>
                <c:pt idx="431">
                  <c:v>92.2</c:v>
                </c:pt>
                <c:pt idx="432">
                  <c:v>92.3</c:v>
                </c:pt>
                <c:pt idx="433">
                  <c:v>92.4</c:v>
                </c:pt>
                <c:pt idx="434">
                  <c:v>92.5</c:v>
                </c:pt>
                <c:pt idx="435">
                  <c:v>92.5</c:v>
                </c:pt>
                <c:pt idx="436">
                  <c:v>92.6</c:v>
                </c:pt>
                <c:pt idx="437">
                  <c:v>92.7</c:v>
                </c:pt>
                <c:pt idx="438">
                  <c:v>92.8</c:v>
                </c:pt>
                <c:pt idx="439">
                  <c:v>92.9</c:v>
                </c:pt>
                <c:pt idx="440">
                  <c:v>93</c:v>
                </c:pt>
                <c:pt idx="441">
                  <c:v>93</c:v>
                </c:pt>
                <c:pt idx="442">
                  <c:v>93.1</c:v>
                </c:pt>
                <c:pt idx="443">
                  <c:v>93.2</c:v>
                </c:pt>
                <c:pt idx="444">
                  <c:v>93.3</c:v>
                </c:pt>
                <c:pt idx="445">
                  <c:v>93.4</c:v>
                </c:pt>
                <c:pt idx="446">
                  <c:v>93.5</c:v>
                </c:pt>
                <c:pt idx="447">
                  <c:v>93.5</c:v>
                </c:pt>
                <c:pt idx="448">
                  <c:v>93.6</c:v>
                </c:pt>
                <c:pt idx="449">
                  <c:v>93.7</c:v>
                </c:pt>
                <c:pt idx="450">
                  <c:v>93.8</c:v>
                </c:pt>
                <c:pt idx="451">
                  <c:v>93.9</c:v>
                </c:pt>
                <c:pt idx="452">
                  <c:v>94</c:v>
                </c:pt>
                <c:pt idx="453">
                  <c:v>94</c:v>
                </c:pt>
                <c:pt idx="454">
                  <c:v>94.1</c:v>
                </c:pt>
                <c:pt idx="455">
                  <c:v>94.2</c:v>
                </c:pt>
                <c:pt idx="456">
                  <c:v>94.3</c:v>
                </c:pt>
                <c:pt idx="457">
                  <c:v>94.4</c:v>
                </c:pt>
                <c:pt idx="458">
                  <c:v>94.5</c:v>
                </c:pt>
                <c:pt idx="459">
                  <c:v>94.5</c:v>
                </c:pt>
                <c:pt idx="460">
                  <c:v>94.6</c:v>
                </c:pt>
                <c:pt idx="461">
                  <c:v>94.7</c:v>
                </c:pt>
                <c:pt idx="462">
                  <c:v>94.8</c:v>
                </c:pt>
                <c:pt idx="463">
                  <c:v>94.9</c:v>
                </c:pt>
                <c:pt idx="464">
                  <c:v>95</c:v>
                </c:pt>
                <c:pt idx="465">
                  <c:v>95</c:v>
                </c:pt>
                <c:pt idx="466">
                  <c:v>95.1</c:v>
                </c:pt>
                <c:pt idx="467">
                  <c:v>95.2</c:v>
                </c:pt>
                <c:pt idx="468">
                  <c:v>95.3</c:v>
                </c:pt>
                <c:pt idx="469">
                  <c:v>95.4</c:v>
                </c:pt>
                <c:pt idx="470">
                  <c:v>95.5</c:v>
                </c:pt>
                <c:pt idx="471">
                  <c:v>95.5</c:v>
                </c:pt>
                <c:pt idx="472">
                  <c:v>95.6</c:v>
                </c:pt>
                <c:pt idx="473">
                  <c:v>95.7</c:v>
                </c:pt>
                <c:pt idx="474">
                  <c:v>95.8</c:v>
                </c:pt>
                <c:pt idx="475">
                  <c:v>95.9</c:v>
                </c:pt>
                <c:pt idx="476">
                  <c:v>96</c:v>
                </c:pt>
                <c:pt idx="477">
                  <c:v>96</c:v>
                </c:pt>
                <c:pt idx="478">
                  <c:v>96.1</c:v>
                </c:pt>
                <c:pt idx="479">
                  <c:v>96.2</c:v>
                </c:pt>
                <c:pt idx="480">
                  <c:v>96.3</c:v>
                </c:pt>
                <c:pt idx="481">
                  <c:v>96.4</c:v>
                </c:pt>
                <c:pt idx="482">
                  <c:v>96.5</c:v>
                </c:pt>
                <c:pt idx="483">
                  <c:v>96.5</c:v>
                </c:pt>
                <c:pt idx="484">
                  <c:v>96.6</c:v>
                </c:pt>
                <c:pt idx="485">
                  <c:v>96.7</c:v>
                </c:pt>
                <c:pt idx="486">
                  <c:v>96.8</c:v>
                </c:pt>
                <c:pt idx="487">
                  <c:v>96.9</c:v>
                </c:pt>
                <c:pt idx="488">
                  <c:v>97</c:v>
                </c:pt>
                <c:pt idx="489">
                  <c:v>97</c:v>
                </c:pt>
                <c:pt idx="490">
                  <c:v>97.1</c:v>
                </c:pt>
                <c:pt idx="491">
                  <c:v>97.2</c:v>
                </c:pt>
                <c:pt idx="492">
                  <c:v>97.3</c:v>
                </c:pt>
                <c:pt idx="493">
                  <c:v>97.4</c:v>
                </c:pt>
                <c:pt idx="494">
                  <c:v>97.5</c:v>
                </c:pt>
                <c:pt idx="495">
                  <c:v>97.5</c:v>
                </c:pt>
              </c:numCache>
            </c:numRef>
          </c:cat>
          <c:val>
            <c:numRef>
              <c:f>'Projected Retirement Drawdown'!$W$10:$W$505</c:f>
              <c:numCache>
                <c:formatCode>"$"#,##0</c:formatCode>
                <c:ptCount val="496"/>
                <c:pt idx="0">
                  <c:v>1530816.2093123586</c:v>
                </c:pt>
                <c:pt idx="1">
                  <c:v>1534189.3073085828</c:v>
                </c:pt>
                <c:pt idx="2">
                  <c:v>1537590.8408600576</c:v>
                </c:pt>
                <c:pt idx="3">
                  <c:v>1541021.0113853004</c:v>
                </c:pt>
                <c:pt idx="4">
                  <c:v>1544480.021729541</c:v>
                </c:pt>
                <c:pt idx="5">
                  <c:v>1547968.0761748313</c:v>
                </c:pt>
                <c:pt idx="6">
                  <c:v>1551485.3804502201</c:v>
                </c:pt>
                <c:pt idx="7">
                  <c:v>1555032.1417420041</c:v>
                </c:pt>
                <c:pt idx="8">
                  <c:v>1558608.5687040493</c:v>
                </c:pt>
                <c:pt idx="9">
                  <c:v>1562214.8714681868</c:v>
                </c:pt>
                <c:pt idx="10">
                  <c:v>1565851.2616546815</c:v>
                </c:pt>
                <c:pt idx="11">
                  <c:v>1569517.9523827746</c:v>
                </c:pt>
                <c:pt idx="12">
                  <c:v>1573032.1677273344</c:v>
                </c:pt>
                <c:pt idx="13">
                  <c:v>1576575.8182083627</c:v>
                </c:pt>
                <c:pt idx="14">
                  <c:v>1580149.1123247424</c:v>
                </c:pt>
                <c:pt idx="15">
                  <c:v>1583752.2600522249</c:v>
                </c:pt>
                <c:pt idx="16">
                  <c:v>1587385.4728538871</c:v>
                </c:pt>
                <c:pt idx="17">
                  <c:v>1591048.963690673</c:v>
                </c:pt>
                <c:pt idx="18">
                  <c:v>1594742.9470319971</c:v>
                </c:pt>
                <c:pt idx="19">
                  <c:v>1598467.6388664334</c:v>
                </c:pt>
                <c:pt idx="20">
                  <c:v>1602223.2567124746</c:v>
                </c:pt>
                <c:pt idx="21">
                  <c:v>1606010.0196293697</c:v>
                </c:pt>
                <c:pt idx="22">
                  <c:v>1609828.1482280374</c:v>
                </c:pt>
                <c:pt idx="23">
                  <c:v>1613677.8646820567</c:v>
                </c:pt>
                <c:pt idx="24">
                  <c:v>1617355.0573565566</c:v>
                </c:pt>
                <c:pt idx="25">
                  <c:v>1621062.8395902789</c:v>
                </c:pt>
                <c:pt idx="26">
                  <c:v>1624801.4280592673</c:v>
                </c:pt>
                <c:pt idx="27">
                  <c:v>1628571.040974356</c:v>
                </c:pt>
                <c:pt idx="28">
                  <c:v>1632371.8980920378</c:v>
                </c:pt>
                <c:pt idx="29">
                  <c:v>1636204.2207254136</c:v>
                </c:pt>
                <c:pt idx="30">
                  <c:v>1640068.2317552208</c:v>
                </c:pt>
                <c:pt idx="31">
                  <c:v>1643964.1556409337</c:v>
                </c:pt>
                <c:pt idx="32">
                  <c:v>1647892.2184319478</c:v>
                </c:pt>
                <c:pt idx="33">
                  <c:v>1651852.6477788428</c:v>
                </c:pt>
                <c:pt idx="34">
                  <c:v>1655845.6729447227</c:v>
                </c:pt>
                <c:pt idx="35">
                  <c:v>1659871.5248166388</c:v>
                </c:pt>
                <c:pt idx="36">
                  <c:v>1663683.1441813675</c:v>
                </c:pt>
                <c:pt idx="37">
                  <c:v>1667526.3052943742</c:v>
                </c:pt>
                <c:pt idx="38">
                  <c:v>1671401.2315763757</c:v>
                </c:pt>
                <c:pt idx="39">
                  <c:v>1675308.1480306524</c:v>
                </c:pt>
                <c:pt idx="40">
                  <c:v>1679247.2812542582</c:v>
                </c:pt>
                <c:pt idx="41">
                  <c:v>1683218.8594493086</c:v>
                </c:pt>
                <c:pt idx="42">
                  <c:v>1687223.1124343523</c:v>
                </c:pt>
                <c:pt idx="43">
                  <c:v>1691260.2716558175</c:v>
                </c:pt>
                <c:pt idx="44">
                  <c:v>1695330.5701995457</c:v>
                </c:pt>
                <c:pt idx="45">
                  <c:v>1699434.2428024032</c:v>
                </c:pt>
                <c:pt idx="46">
                  <c:v>1703571.5258639758</c:v>
                </c:pt>
                <c:pt idx="47">
                  <c:v>1707742.6574583452</c:v>
                </c:pt>
                <c:pt idx="48">
                  <c:v>1711682.947033419</c:v>
                </c:pt>
                <c:pt idx="49">
                  <c:v>1715655.6897707609</c:v>
                </c:pt>
                <c:pt idx="50">
                  <c:v>1719661.1155469364</c:v>
                </c:pt>
                <c:pt idx="51">
                  <c:v>1723699.4558668046</c:v>
                </c:pt>
                <c:pt idx="52">
                  <c:v>1727770.9438750497</c:v>
                </c:pt>
                <c:pt idx="53">
                  <c:v>1731875.8143677975</c:v>
                </c:pt>
                <c:pt idx="54">
                  <c:v>1736014.3038043133</c:v>
                </c:pt>
                <c:pt idx="55">
                  <c:v>1740186.6503187825</c:v>
                </c:pt>
                <c:pt idx="56">
                  <c:v>1744393.0937321733</c:v>
                </c:pt>
                <c:pt idx="57">
                  <c:v>1748633.8755641868</c:v>
                </c:pt>
                <c:pt idx="58">
                  <c:v>1752909.2390452884</c:v>
                </c:pt>
                <c:pt idx="59">
                  <c:v>1757219.4291288252</c:v>
                </c:pt>
                <c:pt idx="60">
                  <c:v>1761288.2357061978</c:v>
                </c:pt>
                <c:pt idx="61">
                  <c:v>1765390.4057746043</c:v>
                </c:pt>
                <c:pt idx="62">
                  <c:v>1769526.1756587732</c:v>
                </c:pt>
                <c:pt idx="63">
                  <c:v>1773695.7833573993</c:v>
                </c:pt>
                <c:pt idx="64">
                  <c:v>1777899.468555002</c:v>
                </c:pt>
                <c:pt idx="65">
                  <c:v>1782137.4726338652</c:v>
                </c:pt>
                <c:pt idx="66">
                  <c:v>1786410.038686065</c:v>
                </c:pt>
                <c:pt idx="67">
                  <c:v>1790717.4115255794</c:v>
                </c:pt>
                <c:pt idx="68">
                  <c:v>1795059.0538115953</c:v>
                </c:pt>
                <c:pt idx="69">
                  <c:v>1799431.4493971374</c:v>
                </c:pt>
                <c:pt idx="70">
                  <c:v>1803834.8161180771</c:v>
                </c:pt>
                <c:pt idx="71">
                  <c:v>1809491.5696866235</c:v>
                </c:pt>
                <c:pt idx="72">
                  <c:v>1814863.3179925315</c:v>
                </c:pt>
                <c:pt idx="73">
                  <c:v>1820273.1161822728</c:v>
                </c:pt>
                <c:pt idx="74">
                  <c:v>1825721.2337758583</c:v>
                </c:pt>
                <c:pt idx="75">
                  <c:v>1831207.9422023983</c:v>
                </c:pt>
                <c:pt idx="76">
                  <c:v>1836733.5148136262</c:v>
                </c:pt>
                <c:pt idx="77">
                  <c:v>1842298.2268975172</c:v>
                </c:pt>
                <c:pt idx="78">
                  <c:v>1847902.355692002</c:v>
                </c:pt>
                <c:pt idx="79">
                  <c:v>1853546.1803987816</c:v>
                </c:pt>
                <c:pt idx="80">
                  <c:v>1859229.9821972339</c:v>
                </c:pt>
                <c:pt idx="81">
                  <c:v>1864954.0442584252</c:v>
                </c:pt>
                <c:pt idx="82">
                  <c:v>1870718.6517592168</c:v>
                </c:pt>
                <c:pt idx="83">
                  <c:v>1876524.091896472</c:v>
                </c:pt>
                <c:pt idx="84">
                  <c:v>1881994.0819156559</c:v>
                </c:pt>
                <c:pt idx="85">
                  <c:v>1887502.817697475</c:v>
                </c:pt>
                <c:pt idx="86">
                  <c:v>1893050.573691082</c:v>
                </c:pt>
                <c:pt idx="87">
                  <c:v>1898637.6262896438</c:v>
                </c:pt>
                <c:pt idx="88">
                  <c:v>1904264.2538441122</c:v>
                </c:pt>
                <c:pt idx="89">
                  <c:v>1909930.7366770911</c:v>
                </c:pt>
                <c:pt idx="90">
                  <c:v>1915637.3570968038</c:v>
                </c:pt>
                <c:pt idx="91">
                  <c:v>1921384.3994111563</c:v>
                </c:pt>
                <c:pt idx="92">
                  <c:v>1927172.1499419019</c:v>
                </c:pt>
                <c:pt idx="93">
                  <c:v>1933000.8970389068</c:v>
                </c:pt>
                <c:pt idx="94">
                  <c:v>1938870.9310945161</c:v>
                </c:pt>
                <c:pt idx="95">
                  <c:v>1944782.5445580189</c:v>
                </c:pt>
                <c:pt idx="96">
                  <c:v>1950408.7350769318</c:v>
                </c:pt>
                <c:pt idx="97">
                  <c:v>1956074.7777786874</c:v>
                </c:pt>
                <c:pt idx="98">
                  <c:v>1961780.9549495801</c:v>
                </c:pt>
                <c:pt idx="99">
                  <c:v>1967527.5508754333</c:v>
                </c:pt>
                <c:pt idx="100">
                  <c:v>1973314.8518557616</c:v>
                </c:pt>
                <c:pt idx="101">
                  <c:v>1979143.1462180335</c:v>
                </c:pt>
                <c:pt idx="102">
                  <c:v>1985012.7243320388</c:v>
                </c:pt>
                <c:pt idx="103">
                  <c:v>1990923.878624351</c:v>
                </c:pt>
                <c:pt idx="104">
                  <c:v>1996876.9035929006</c:v>
                </c:pt>
                <c:pt idx="105">
                  <c:v>2002745.8747105328</c:v>
                </c:pt>
                <c:pt idx="106">
                  <c:v>2008656.4177069152</c:v>
                </c:pt>
                <c:pt idx="107">
                  <c:v>2014608.8270495217</c:v>
                </c:pt>
                <c:pt idx="108">
                  <c:v>2020300.825939253</c:v>
                </c:pt>
                <c:pt idx="109">
                  <c:v>2026033.143154453</c:v>
                </c:pt>
                <c:pt idx="110">
                  <c:v>2031806.0642832606</c:v>
                </c:pt>
                <c:pt idx="111">
                  <c:v>2037619.8769367307</c:v>
                </c:pt>
                <c:pt idx="112">
                  <c:v>2043474.8707631626</c:v>
                </c:pt>
                <c:pt idx="113">
                  <c:v>2049371.3374625323</c:v>
                </c:pt>
                <c:pt idx="114">
                  <c:v>2055309.5708010222</c:v>
                </c:pt>
                <c:pt idx="115">
                  <c:v>2061289.8666256599</c:v>
                </c:pt>
                <c:pt idx="116">
                  <c:v>2067312.5228790555</c:v>
                </c:pt>
                <c:pt idx="117">
                  <c:v>2073377.839614246</c:v>
                </c:pt>
                <c:pt idx="118">
                  <c:v>2079486.1190096438</c:v>
                </c:pt>
                <c:pt idx="119">
                  <c:v>2085637.6653840924</c:v>
                </c:pt>
                <c:pt idx="120">
                  <c:v>2091568.9991355073</c:v>
                </c:pt>
                <c:pt idx="121">
                  <c:v>2097542.3465009946</c:v>
                </c:pt>
                <c:pt idx="122">
                  <c:v>2103558.0050769877</c:v>
                </c:pt>
                <c:pt idx="123">
                  <c:v>2109616.2745678932</c:v>
                </c:pt>
                <c:pt idx="124">
                  <c:v>2115717.4568010266</c:v>
                </c:pt>
                <c:pt idx="125">
                  <c:v>2121861.8557416447</c:v>
                </c:pt>
                <c:pt idx="126">
                  <c:v>2128049.7775080921</c:v>
                </c:pt>
                <c:pt idx="127">
                  <c:v>2134281.5303870519</c:v>
                </c:pt>
                <c:pt idx="128">
                  <c:v>2140557.4248489039</c:v>
                </c:pt>
                <c:pt idx="129">
                  <c:v>2146877.7735631946</c:v>
                </c:pt>
                <c:pt idx="130">
                  <c:v>2153242.8914142111</c:v>
                </c:pt>
                <c:pt idx="131">
                  <c:v>2159653.0955166728</c:v>
                </c:pt>
                <c:pt idx="132">
                  <c:v>2165784.3951438717</c:v>
                </c:pt>
                <c:pt idx="133">
                  <c:v>2171959.1248100959</c:v>
                </c:pt>
                <c:pt idx="134">
                  <c:v>2178177.5921447892</c:v>
                </c:pt>
                <c:pt idx="135">
                  <c:v>2184440.1069564368</c:v>
                </c:pt>
                <c:pt idx="136">
                  <c:v>2190746.9812480002</c:v>
                </c:pt>
                <c:pt idx="137">
                  <c:v>2197098.5292324624</c:v>
                </c:pt>
                <c:pt idx="138">
                  <c:v>2203495.0673484807</c:v>
                </c:pt>
                <c:pt idx="139">
                  <c:v>2209936.9142761547</c:v>
                </c:pt>
                <c:pt idx="140">
                  <c:v>2216424.3909528996</c:v>
                </c:pt>
                <c:pt idx="141">
                  <c:v>2222957.8205894381</c:v>
                </c:pt>
                <c:pt idx="142">
                  <c:v>2229537.5286859013</c:v>
                </c:pt>
                <c:pt idx="143">
                  <c:v>2236163.8430480487</c:v>
                </c:pt>
                <c:pt idx="144">
                  <c:v>2242488.5638429369</c:v>
                </c:pt>
                <c:pt idx="145">
                  <c:v>2248858.084743456</c:v>
                </c:pt>
                <c:pt idx="146">
                  <c:v>2255272.7230836865</c:v>
                </c:pt>
                <c:pt idx="147">
                  <c:v>2261732.7984454944</c:v>
                </c:pt>
                <c:pt idx="148">
                  <c:v>2268238.6326744477</c:v>
                </c:pt>
                <c:pt idx="149">
                  <c:v>2274790.5498958565</c:v>
                </c:pt>
                <c:pt idx="150">
                  <c:v>2281388.8765309164</c:v>
                </c:pt>
                <c:pt idx="151">
                  <c:v>2288033.9413129753</c:v>
                </c:pt>
                <c:pt idx="152">
                  <c:v>2294726.075303907</c:v>
                </c:pt>
                <c:pt idx="153">
                  <c:v>2301465.6119106077</c:v>
                </c:pt>
                <c:pt idx="154">
                  <c:v>2308252.8869016059</c:v>
                </c:pt>
                <c:pt idx="155">
                  <c:v>2315088.2384237903</c:v>
                </c:pt>
                <c:pt idx="156">
                  <c:v>2321608.0496771471</c:v>
                </c:pt>
                <c:pt idx="157">
                  <c:v>2328174.0429268824</c:v>
                </c:pt>
                <c:pt idx="158">
                  <c:v>2334786.5452954699</c:v>
                </c:pt>
                <c:pt idx="159">
                  <c:v>2341445.8862225008</c:v>
                </c:pt>
                <c:pt idx="160">
                  <c:v>2348152.3974810988</c:v>
                </c:pt>
                <c:pt idx="161">
                  <c:v>2354906.413194445</c:v>
                </c:pt>
                <c:pt idx="162">
                  <c:v>2361708.2698524273</c:v>
                </c:pt>
                <c:pt idx="163">
                  <c:v>2368558.3063284038</c:v>
                </c:pt>
                <c:pt idx="164">
                  <c:v>2375456.8638960849</c:v>
                </c:pt>
                <c:pt idx="165">
                  <c:v>2382404.2862465377</c:v>
                </c:pt>
                <c:pt idx="166">
                  <c:v>2389400.9195053056</c:v>
                </c:pt>
                <c:pt idx="167">
                  <c:v>2396447.112249657</c:v>
                </c:pt>
                <c:pt idx="168">
                  <c:v>2403160.440640036</c:v>
                </c:pt>
                <c:pt idx="169">
                  <c:v>2409921.3217731803</c:v>
                </c:pt>
                <c:pt idx="170">
                  <c:v>2416730.0924810176</c:v>
                </c:pt>
                <c:pt idx="171">
                  <c:v>2423587.0919813686</c:v>
                </c:pt>
                <c:pt idx="172">
                  <c:v>2430492.6618948472</c:v>
                </c:pt>
                <c:pt idx="173">
                  <c:v>2437447.1462618797</c:v>
                </c:pt>
                <c:pt idx="174">
                  <c:v>2444450.8915598453</c:v>
                </c:pt>
                <c:pt idx="175">
                  <c:v>2451504.2467203382</c:v>
                </c:pt>
                <c:pt idx="176">
                  <c:v>2458607.5631465511</c:v>
                </c:pt>
                <c:pt idx="177">
                  <c:v>2465761.1947307833</c:v>
                </c:pt>
                <c:pt idx="178">
                  <c:v>2472965.4978720699</c:v>
                </c:pt>
                <c:pt idx="179">
                  <c:v>2480220.8314939411</c:v>
                </c:pt>
                <c:pt idx="180">
                  <c:v>2487125.4597337442</c:v>
                </c:pt>
                <c:pt idx="181">
                  <c:v>2494078.9957569125</c:v>
                </c:pt>
                <c:pt idx="182">
                  <c:v>2501081.7859935779</c:v>
                </c:pt>
                <c:pt idx="183">
                  <c:v>2508134.1793277529</c:v>
                </c:pt>
                <c:pt idx="184">
                  <c:v>2515236.5271147117</c:v>
                </c:pt>
                <c:pt idx="185">
                  <c:v>2522389.1831984953</c:v>
                </c:pt>
                <c:pt idx="186">
                  <c:v>2529592.5039295387</c:v>
                </c:pt>
                <c:pt idx="187">
                  <c:v>2536846.8481824268</c:v>
                </c:pt>
                <c:pt idx="188">
                  <c:v>2544152.5773737733</c:v>
                </c:pt>
                <c:pt idx="189">
                  <c:v>2551510.055480225</c:v>
                </c:pt>
                <c:pt idx="190">
                  <c:v>2558919.6490565971</c:v>
                </c:pt>
                <c:pt idx="191">
                  <c:v>2566381.7272541355</c:v>
                </c:pt>
                <c:pt idx="192">
                  <c:v>2573478.8519123965</c:v>
                </c:pt>
                <c:pt idx="193">
                  <c:v>2580626.2478703205</c:v>
                </c:pt>
                <c:pt idx="194">
                  <c:v>2587824.2712162794</c:v>
                </c:pt>
                <c:pt idx="195">
                  <c:v>2595073.2805609386</c:v>
                </c:pt>
                <c:pt idx="196">
                  <c:v>2602373.6370551223</c:v>
                </c:pt>
                <c:pt idx="197">
                  <c:v>2609725.7044078074</c:v>
                </c:pt>
                <c:pt idx="198">
                  <c:v>2617129.8489042404</c:v>
                </c:pt>
                <c:pt idx="199">
                  <c:v>2624586.4394241893</c:v>
                </c:pt>
                <c:pt idx="200">
                  <c:v>2632095.8474603207</c:v>
                </c:pt>
                <c:pt idx="201">
                  <c:v>2639658.4471367095</c:v>
                </c:pt>
                <c:pt idx="202">
                  <c:v>2647274.6152274716</c:v>
                </c:pt>
                <c:pt idx="203">
                  <c:v>2654944.7311755433</c:v>
                </c:pt>
                <c:pt idx="204">
                  <c:v>2662236.2903688215</c:v>
                </c:pt>
                <c:pt idx="205">
                  <c:v>2669579.4981063846</c:v>
                </c:pt>
                <c:pt idx="206">
                  <c:v>2676974.7202320895</c:v>
                </c:pt>
                <c:pt idx="207">
                  <c:v>2684422.3251811843</c:v>
                </c:pt>
                <c:pt idx="208">
                  <c:v>2691922.6839986686</c:v>
                </c:pt>
                <c:pt idx="209">
                  <c:v>2699476.1703577768</c:v>
                </c:pt>
                <c:pt idx="210">
                  <c:v>2707083.160578595</c:v>
                </c:pt>
                <c:pt idx="211">
                  <c:v>2714744.0336468108</c:v>
                </c:pt>
                <c:pt idx="212">
                  <c:v>2722459.1712325942</c:v>
                </c:pt>
                <c:pt idx="213">
                  <c:v>2730228.9577096091</c:v>
                </c:pt>
                <c:pt idx="214">
                  <c:v>2738053.7801741697</c:v>
                </c:pt>
                <c:pt idx="215">
                  <c:v>2745934.0284645208</c:v>
                </c:pt>
                <c:pt idx="216">
                  <c:v>2753421.9319530893</c:v>
                </c:pt>
                <c:pt idx="217">
                  <c:v>2760962.8747580354</c:v>
                </c:pt>
                <c:pt idx="218">
                  <c:v>2768557.2325745164</c:v>
                </c:pt>
                <c:pt idx="219">
                  <c:v>2776205.3837588639</c:v>
                </c:pt>
                <c:pt idx="220">
                  <c:v>2783907.7093474343</c:v>
                </c:pt>
                <c:pt idx="221">
                  <c:v>2791664.5930755902</c:v>
                </c:pt>
                <c:pt idx="222">
                  <c:v>2799476.4213968199</c:v>
                </c:pt>
                <c:pt idx="223">
                  <c:v>2807343.5835019918</c:v>
                </c:pt>
                <c:pt idx="224">
                  <c:v>2815266.4713387424</c:v>
                </c:pt>
                <c:pt idx="225">
                  <c:v>2823245.4796310035</c:v>
                </c:pt>
                <c:pt idx="226">
                  <c:v>2831281.005898668</c:v>
                </c:pt>
                <c:pt idx="227">
                  <c:v>2839373.4504773947</c:v>
                </c:pt>
                <c:pt idx="228">
                  <c:v>2847059.3328941581</c:v>
                </c:pt>
                <c:pt idx="229">
                  <c:v>2854799.6569780414</c:v>
                </c:pt>
                <c:pt idx="230">
                  <c:v>2862594.8083575182</c:v>
                </c:pt>
                <c:pt idx="231">
                  <c:v>2870445.1753925993</c:v>
                </c:pt>
                <c:pt idx="232">
                  <c:v>2878351.1491941791</c:v>
                </c:pt>
                <c:pt idx="233">
                  <c:v>2886313.1236435203</c:v>
                </c:pt>
                <c:pt idx="234">
                  <c:v>2894331.4954118775</c:v>
                </c:pt>
                <c:pt idx="235">
                  <c:v>2902406.6639802605</c:v>
                </c:pt>
                <c:pt idx="236">
                  <c:v>2910539.0316593363</c:v>
                </c:pt>
                <c:pt idx="237">
                  <c:v>2918729.003609472</c:v>
                </c:pt>
                <c:pt idx="238">
                  <c:v>2926976.9878609213</c:v>
                </c:pt>
                <c:pt idx="239">
                  <c:v>2935283.3953341516</c:v>
                </c:pt>
                <c:pt idx="240">
                  <c:v>2943168.5106877168</c:v>
                </c:pt>
                <c:pt idx="241">
                  <c:v>2951109.4789417027</c:v>
                </c:pt>
                <c:pt idx="242">
                  <c:v>2959106.6957208216</c:v>
                </c:pt>
                <c:pt idx="243">
                  <c:v>2967160.5594521253</c:v>
                </c:pt>
                <c:pt idx="244">
                  <c:v>2975271.4713848596</c:v>
                </c:pt>
                <c:pt idx="245">
                  <c:v>2983439.8356104502</c:v>
                </c:pt>
                <c:pt idx="246">
                  <c:v>2991666.0590826394</c:v>
                </c:pt>
                <c:pt idx="247">
                  <c:v>2999950.5516377562</c:v>
                </c:pt>
                <c:pt idx="248">
                  <c:v>3008293.7260151389</c:v>
                </c:pt>
                <c:pt idx="249">
                  <c:v>3016695.9978776937</c:v>
                </c:pt>
                <c:pt idx="250">
                  <c:v>3025157.785832609</c:v>
                </c:pt>
                <c:pt idx="251">
                  <c:v>3033679.511452205</c:v>
                </c:pt>
                <c:pt idx="252">
                  <c:v>3041764.6629453567</c:v>
                </c:pt>
                <c:pt idx="253">
                  <c:v>3049907.084261585</c:v>
                </c:pt>
                <c:pt idx="254">
                  <c:v>3058107.1810621363</c:v>
                </c:pt>
                <c:pt idx="255">
                  <c:v>3066365.3618816915</c:v>
                </c:pt>
                <c:pt idx="256">
                  <c:v>3074682.0381487189</c:v>
                </c:pt>
                <c:pt idx="257">
                  <c:v>3083057.6242059707</c:v>
                </c:pt>
                <c:pt idx="258">
                  <c:v>3091492.5373311285</c:v>
                </c:pt>
                <c:pt idx="259">
                  <c:v>3099987.1977575892</c:v>
                </c:pt>
                <c:pt idx="260">
                  <c:v>3108542.0286954045</c:v>
                </c:pt>
                <c:pt idx="261">
                  <c:v>3117157.4563523615</c:v>
                </c:pt>
                <c:pt idx="262">
                  <c:v>3125833.9099552231</c:v>
                </c:pt>
                <c:pt idx="263">
                  <c:v>3134571.8217711039</c:v>
                </c:pt>
                <c:pt idx="264">
                  <c:v>3142857.2972724522</c:v>
                </c:pt>
                <c:pt idx="265">
                  <c:v>3151201.4615586014</c:v>
                </c:pt>
                <c:pt idx="266">
                  <c:v>3159604.7303417781</c:v>
                </c:pt>
                <c:pt idx="267">
                  <c:v>3168067.5222788351</c:v>
                </c:pt>
                <c:pt idx="268">
                  <c:v>3176590.2589921127</c:v>
                </c:pt>
                <c:pt idx="269">
                  <c:v>3185173.3650904433</c:v>
                </c:pt>
                <c:pt idx="270">
                  <c:v>3193817.2681903038</c:v>
                </c:pt>
                <c:pt idx="271">
                  <c:v>3202522.398937121</c:v>
                </c:pt>
                <c:pt idx="272">
                  <c:v>3211289.1910267281</c:v>
                </c:pt>
                <c:pt idx="273">
                  <c:v>3220118.0812269705</c:v>
                </c:pt>
                <c:pt idx="274">
                  <c:v>3229009.5093994644</c:v>
                </c:pt>
                <c:pt idx="275">
                  <c:v>3237963.9185215137</c:v>
                </c:pt>
                <c:pt idx="276">
                  <c:v>3246449.4231033735</c:v>
                </c:pt>
                <c:pt idx="277">
                  <c:v>3254995.0333426888</c:v>
                </c:pt>
                <c:pt idx="278">
                  <c:v>3263601.1749878656</c:v>
                </c:pt>
                <c:pt idx="279">
                  <c:v>3272268.2768030297</c:v>
                </c:pt>
                <c:pt idx="280">
                  <c:v>3280996.7705893838</c:v>
                </c:pt>
                <c:pt idx="281">
                  <c:v>3289787.0912067248</c:v>
                </c:pt>
                <c:pt idx="282">
                  <c:v>3298639.6765951058</c:v>
                </c:pt>
                <c:pt idx="283">
                  <c:v>3307554.9677966535</c:v>
                </c:pt>
                <c:pt idx="284">
                  <c:v>3316533.4089775463</c:v>
                </c:pt>
                <c:pt idx="285">
                  <c:v>3325575.4474501363</c:v>
                </c:pt>
                <c:pt idx="286">
                  <c:v>3334681.533695241</c:v>
                </c:pt>
                <c:pt idx="287">
                  <c:v>3343852.1213845825</c:v>
                </c:pt>
                <c:pt idx="288">
                  <c:v>3352536.7041361877</c:v>
                </c:pt>
                <c:pt idx="289">
                  <c:v>3361282.8026822833</c:v>
                </c:pt>
                <c:pt idx="290">
                  <c:v>3370090.8527597478</c:v>
                </c:pt>
                <c:pt idx="291">
                  <c:v>3378961.2931919275</c:v>
                </c:pt>
                <c:pt idx="292">
                  <c:v>3387894.5659105014</c:v>
                </c:pt>
                <c:pt idx="293">
                  <c:v>3396891.1159774987</c:v>
                </c:pt>
                <c:pt idx="294">
                  <c:v>3405951.3916074703</c:v>
                </c:pt>
                <c:pt idx="295">
                  <c:v>3415075.8441898213</c:v>
                </c:pt>
                <c:pt idx="296">
                  <c:v>3424264.9283112967</c:v>
                </c:pt>
                <c:pt idx="297">
                  <c:v>3433519.101778633</c:v>
                </c:pt>
                <c:pt idx="298">
                  <c:v>3442838.8256413629</c:v>
                </c:pt>
                <c:pt idx="299">
                  <c:v>3452224.5642147874</c:v>
                </c:pt>
                <c:pt idx="300">
                  <c:v>3461106.5381059973</c:v>
                </c:pt>
                <c:pt idx="301">
                  <c:v>3470051.4259789363</c:v>
                </c:pt>
                <c:pt idx="302">
                  <c:v>3479059.6734743095</c:v>
                </c:pt>
                <c:pt idx="303">
                  <c:v>3488131.7293894407</c:v>
                </c:pt>
                <c:pt idx="304">
                  <c:v>3497268.0457006381</c:v>
                </c:pt>
                <c:pt idx="305">
                  <c:v>3506469.077585706</c:v>
                </c:pt>
                <c:pt idx="306">
                  <c:v>3515735.2834466267</c:v>
                </c:pt>
                <c:pt idx="307">
                  <c:v>3525067.1249323953</c:v>
                </c:pt>
                <c:pt idx="308">
                  <c:v>3534465.0669620219</c:v>
                </c:pt>
                <c:pt idx="309">
                  <c:v>3543929.5777476914</c:v>
                </c:pt>
                <c:pt idx="310">
                  <c:v>3553461.1288180929</c:v>
                </c:pt>
                <c:pt idx="311">
                  <c:v>3563060.1950419093</c:v>
                </c:pt>
                <c:pt idx="312">
                  <c:v>3572136.319931759</c:v>
                </c:pt>
                <c:pt idx="313">
                  <c:v>3581276.7340395791</c:v>
                </c:pt>
                <c:pt idx="314">
                  <c:v>3590481.8927473295</c:v>
                </c:pt>
                <c:pt idx="315">
                  <c:v>3599752.254662592</c:v>
                </c:pt>
                <c:pt idx="316">
                  <c:v>3609088.2816414218</c:v>
                </c:pt>
                <c:pt idx="317">
                  <c:v>3618490.4388113515</c:v>
                </c:pt>
                <c:pt idx="318">
                  <c:v>3627959.1945945681</c:v>
                </c:pt>
                <c:pt idx="319">
                  <c:v>3637495.0207312494</c:v>
                </c:pt>
                <c:pt idx="320">
                  <c:v>3647098.3923030649</c:v>
                </c:pt>
                <c:pt idx="321">
                  <c:v>3656769.7877568481</c:v>
                </c:pt>
                <c:pt idx="322">
                  <c:v>3666509.688928429</c:v>
                </c:pt>
                <c:pt idx="323">
                  <c:v>3676318.5810666415</c:v>
                </c:pt>
                <c:pt idx="324">
                  <c:v>3685584.3671301552</c:v>
                </c:pt>
                <c:pt idx="325">
                  <c:v>3694915.7858449528</c:v>
                </c:pt>
                <c:pt idx="326">
                  <c:v>3704313.3021089798</c:v>
                </c:pt>
                <c:pt idx="327">
                  <c:v>3713777.3841132103</c:v>
                </c:pt>
                <c:pt idx="328">
                  <c:v>3723308.5033649709</c:v>
                </c:pt>
                <c:pt idx="329">
                  <c:v>3732907.1347114313</c:v>
                </c:pt>
                <c:pt idx="330">
                  <c:v>3742573.7563632624</c:v>
                </c:pt>
                <c:pt idx="331">
                  <c:v>3752308.8499184609</c:v>
                </c:pt>
                <c:pt idx="332">
                  <c:v>3762112.9003863418</c:v>
                </c:pt>
                <c:pt idx="333">
                  <c:v>3771986.3962117038</c:v>
                </c:pt>
                <c:pt idx="334">
                  <c:v>3781929.8292991621</c:v>
                </c:pt>
                <c:pt idx="335">
                  <c:v>3791943.695037656</c:v>
                </c:pt>
                <c:pt idx="336">
                  <c:v>3801394.1957346108</c:v>
                </c:pt>
                <c:pt idx="337">
                  <c:v>3810911.6374781691</c:v>
                </c:pt>
                <c:pt idx="338">
                  <c:v>3820496.4944340778</c:v>
                </c:pt>
                <c:pt idx="339">
                  <c:v>3830149.2441267567</c:v>
                </c:pt>
                <c:pt idx="340">
                  <c:v>3839870.3674630933</c:v>
                </c:pt>
                <c:pt idx="341">
                  <c:v>3849660.3487563953</c:v>
                </c:pt>
                <c:pt idx="342">
                  <c:v>3859519.6757505247</c:v>
                </c:pt>
                <c:pt idx="343">
                  <c:v>3869448.8396441955</c:v>
                </c:pt>
                <c:pt idx="344">
                  <c:v>3879448.3351154467</c:v>
                </c:pt>
                <c:pt idx="345">
                  <c:v>3889518.6603462859</c:v>
                </c:pt>
                <c:pt idx="346">
                  <c:v>3899660.3170475103</c:v>
                </c:pt>
                <c:pt idx="347">
                  <c:v>3909873.8104837015</c:v>
                </c:pt>
                <c:pt idx="348">
                  <c:v>3919503.0770376194</c:v>
                </c:pt>
                <c:pt idx="349">
                  <c:v>3929200.5508962939</c:v>
                </c:pt>
                <c:pt idx="350">
                  <c:v>3938966.7151948013</c:v>
                </c:pt>
                <c:pt idx="351">
                  <c:v>3948802.0564904227</c:v>
                </c:pt>
                <c:pt idx="352">
                  <c:v>3958707.0647868877</c:v>
                </c:pt>
                <c:pt idx="353">
                  <c:v>3968682.2335587866</c:v>
                </c:pt>
                <c:pt idx="354">
                  <c:v>3978728.0597761525</c:v>
                </c:pt>
                <c:pt idx="355">
                  <c:v>3988845.0439292253</c:v>
                </c:pt>
                <c:pt idx="356">
                  <c:v>3999033.690053382</c:v>
                </c:pt>
                <c:pt idx="357">
                  <c:v>4009294.505754252</c:v>
                </c:pt>
                <c:pt idx="358">
                  <c:v>4019628.0022330023</c:v>
                </c:pt>
                <c:pt idx="359">
                  <c:v>4030034.6943118111</c:v>
                </c:pt>
                <c:pt idx="360">
                  <c:v>4039835.5268847039</c:v>
                </c:pt>
                <c:pt idx="361">
                  <c:v>4049705.7820216543</c:v>
                </c:pt>
                <c:pt idx="362">
                  <c:v>4059645.9514658256</c:v>
                </c:pt>
                <c:pt idx="363">
                  <c:v>4069656.5304435594</c:v>
                </c:pt>
                <c:pt idx="364">
                  <c:v>4079738.017689052</c:v>
                </c:pt>
                <c:pt idx="365">
                  <c:v>4089890.9154692004</c:v>
                </c:pt>
                <c:pt idx="366">
                  <c:v>4100115.7296086252</c:v>
                </c:pt>
                <c:pt idx="367">
                  <c:v>4110412.9695148706</c:v>
                </c:pt>
                <c:pt idx="368">
                  <c:v>4120783.1482037846</c:v>
                </c:pt>
                <c:pt idx="369">
                  <c:v>4131226.7823250792</c:v>
                </c:pt>
                <c:pt idx="370">
                  <c:v>4141744.3921880657</c:v>
                </c:pt>
                <c:pt idx="371">
                  <c:v>4152336.5017875829</c:v>
                </c:pt>
                <c:pt idx="372">
                  <c:v>4162300.2742948835</c:v>
                </c:pt>
                <c:pt idx="373">
                  <c:v>4172334.6235241117</c:v>
                </c:pt>
                <c:pt idx="374">
                  <c:v>4182440.0493937135</c:v>
                </c:pt>
                <c:pt idx="375">
                  <c:v>4192617.0553632244</c:v>
                </c:pt>
                <c:pt idx="376">
                  <c:v>4202866.1484583523</c:v>
                </c:pt>
                <c:pt idx="377">
                  <c:v>4213187.8392962376</c:v>
                </c:pt>
                <c:pt idx="378">
                  <c:v>4223582.6421108916</c:v>
                </c:pt>
                <c:pt idx="379">
                  <c:v>4234051.0747788167</c:v>
                </c:pt>
                <c:pt idx="380">
                  <c:v>4244593.6588448063</c:v>
                </c:pt>
                <c:pt idx="381">
                  <c:v>4255210.9195479294</c:v>
                </c:pt>
                <c:pt idx="382">
                  <c:v>4265903.3858476989</c:v>
                </c:pt>
                <c:pt idx="383">
                  <c:v>4276671.5904504256</c:v>
                </c:pt>
                <c:pt idx="384">
                  <c:v>4286782.2565799057</c:v>
                </c:pt>
                <c:pt idx="385">
                  <c:v>4296964.539927803</c:v>
                </c:pt>
                <c:pt idx="386">
                  <c:v>4307218.9477827474</c:v>
                </c:pt>
                <c:pt idx="387">
                  <c:v>4317545.9910266642</c:v>
                </c:pt>
                <c:pt idx="388">
                  <c:v>4327946.184160226</c:v>
                </c:pt>
                <c:pt idx="389">
                  <c:v>4338420.045328483</c:v>
                </c:pt>
                <c:pt idx="390">
                  <c:v>4348968.0963466819</c:v>
                </c:pt>
                <c:pt idx="391">
                  <c:v>4359590.86272626</c:v>
                </c:pt>
                <c:pt idx="392">
                  <c:v>4370288.8737010276</c:v>
                </c:pt>
                <c:pt idx="393">
                  <c:v>4381062.6622535326</c:v>
                </c:pt>
                <c:pt idx="394">
                  <c:v>4391912.7651416166</c:v>
                </c:pt>
                <c:pt idx="395">
                  <c:v>4402839.7229251591</c:v>
                </c:pt>
                <c:pt idx="396">
                  <c:v>4413057.5053632353</c:v>
                </c:pt>
                <c:pt idx="397">
                  <c:v>4423347.6637602476</c:v>
                </c:pt>
                <c:pt idx="398">
                  <c:v>4433710.7107792385</c:v>
                </c:pt>
                <c:pt idx="399">
                  <c:v>4444147.1627146145</c:v>
                </c:pt>
                <c:pt idx="400">
                  <c:v>4454657.5395178664</c:v>
                </c:pt>
                <c:pt idx="401">
                  <c:v>4465242.3648234745</c:v>
                </c:pt>
                <c:pt idx="402">
                  <c:v>4475902.165974997</c:v>
                </c:pt>
                <c:pt idx="403">
                  <c:v>4486637.4740513423</c:v>
                </c:pt>
                <c:pt idx="404">
                  <c:v>4497448.8238932295</c:v>
                </c:pt>
                <c:pt idx="405">
                  <c:v>4508336.7541298289</c:v>
                </c:pt>
                <c:pt idx="406">
                  <c:v>4519301.8072056053</c:v>
                </c:pt>
                <c:pt idx="407">
                  <c:v>4530344.5294073345</c:v>
                </c:pt>
                <c:pt idx="408">
                  <c:v>4540642.6438272959</c:v>
                </c:pt>
                <c:pt idx="409">
                  <c:v>4551013.7032243991</c:v>
                </c:pt>
                <c:pt idx="410">
                  <c:v>4561458.2242922308</c:v>
                </c:pt>
                <c:pt idx="411">
                  <c:v>4571976.7273842935</c:v>
                </c:pt>
                <c:pt idx="412">
                  <c:v>4582569.7365399254</c:v>
                </c:pt>
                <c:pt idx="413">
                  <c:v>4593237.7795104086</c:v>
                </c:pt>
                <c:pt idx="414">
                  <c:v>4603981.3877852671</c:v>
                </c:pt>
                <c:pt idx="415">
                  <c:v>4614801.0966187399</c:v>
                </c:pt>
                <c:pt idx="416">
                  <c:v>4625697.4450564478</c:v>
                </c:pt>
                <c:pt idx="417">
                  <c:v>4636670.975962257</c:v>
                </c:pt>
                <c:pt idx="418">
                  <c:v>4647722.2360453159</c:v>
                </c:pt>
                <c:pt idx="419">
                  <c:v>4658851.7758872965</c:v>
                </c:pt>
                <c:pt idx="420">
                  <c:v>4669205.7143286718</c:v>
                </c:pt>
                <c:pt idx="421">
                  <c:v>4679632.9931673408</c:v>
                </c:pt>
                <c:pt idx="422">
                  <c:v>4690134.1318977829</c:v>
                </c:pt>
                <c:pt idx="423">
                  <c:v>4700709.6536942329</c:v>
                </c:pt>
                <c:pt idx="424">
                  <c:v>4711360.0854367409</c:v>
                </c:pt>
                <c:pt idx="425">
                  <c:v>4722085.9577374244</c:v>
                </c:pt>
                <c:pt idx="426">
                  <c:v>4732887.8049669052</c:v>
                </c:pt>
                <c:pt idx="427">
                  <c:v>4743766.1652809279</c:v>
                </c:pt>
                <c:pt idx="428">
                  <c:v>4754721.5806471743</c:v>
                </c:pt>
                <c:pt idx="429">
                  <c:v>4765754.5968722655</c:v>
                </c:pt>
                <c:pt idx="430">
                  <c:v>4776865.7636289513</c:v>
                </c:pt>
                <c:pt idx="431">
                  <c:v>4788055.6344834976</c:v>
                </c:pt>
                <c:pt idx="432">
                  <c:v>4798439.5209981594</c:v>
                </c:pt>
                <c:pt idx="433">
                  <c:v>4808896.9600422997</c:v>
                </c:pt>
                <c:pt idx="434">
                  <c:v>4819428.4726130031</c:v>
                </c:pt>
                <c:pt idx="435">
                  <c:v>4830034.5833977489</c:v>
                </c:pt>
                <c:pt idx="436">
                  <c:v>4840715.820800554</c:v>
                </c:pt>
                <c:pt idx="437">
                  <c:v>4851472.7169682942</c:v>
                </c:pt>
                <c:pt idx="438">
                  <c:v>4862305.8078172244</c:v>
                </c:pt>
                <c:pt idx="439">
                  <c:v>4873215.6330596665</c:v>
                </c:pt>
                <c:pt idx="440">
                  <c:v>4884202.7362309098</c:v>
                </c:pt>
                <c:pt idx="441">
                  <c:v>4895267.6647162829</c:v>
                </c:pt>
                <c:pt idx="442">
                  <c:v>4906410.9697784269</c:v>
                </c:pt>
                <c:pt idx="443">
                  <c:v>4917633.2065847609</c:v>
                </c:pt>
                <c:pt idx="444">
                  <c:v>4928018.4131727694</c:v>
                </c:pt>
                <c:pt idx="445">
                  <c:v>4938477.1816407759</c:v>
                </c:pt>
                <c:pt idx="446">
                  <c:v>4949010.033052098</c:v>
                </c:pt>
                <c:pt idx="447">
                  <c:v>4959617.4921609173</c:v>
                </c:pt>
                <c:pt idx="448">
                  <c:v>4970300.0874384232</c:v>
                </c:pt>
                <c:pt idx="449">
                  <c:v>4981058.3510991456</c:v>
                </c:pt>
                <c:pt idx="450">
                  <c:v>4991892.8191274647</c:v>
                </c:pt>
                <c:pt idx="451">
                  <c:v>5002804.0313043166</c:v>
                </c:pt>
                <c:pt idx="452">
                  <c:v>5013792.5312340893</c:v>
                </c:pt>
                <c:pt idx="453">
                  <c:v>5024858.8663716977</c:v>
                </c:pt>
                <c:pt idx="454">
                  <c:v>5036003.5880498635</c:v>
                </c:pt>
                <c:pt idx="455">
                  <c:v>5047227.2515065819</c:v>
                </c:pt>
                <c:pt idx="456">
                  <c:v>5057581.7227057787</c:v>
                </c:pt>
                <c:pt idx="457">
                  <c:v>5068009.5380759686</c:v>
                </c:pt>
                <c:pt idx="458">
                  <c:v>5078511.217138364</c:v>
                </c:pt>
                <c:pt idx="459">
                  <c:v>5089087.2830941183</c:v>
                </c:pt>
                <c:pt idx="460">
                  <c:v>5099738.2628503935</c:v>
                </c:pt>
                <c:pt idx="461">
                  <c:v>5110464.687046608</c:v>
                </c:pt>
                <c:pt idx="462">
                  <c:v>5121267.0900808787</c:v>
                </c:pt>
                <c:pt idx="463">
                  <c:v>5132146.0101366416</c:v>
                </c:pt>
                <c:pt idx="464">
                  <c:v>5143101.9892094675</c:v>
                </c:pt>
                <c:pt idx="465">
                  <c:v>5154135.5731340591</c:v>
                </c:pt>
                <c:pt idx="466">
                  <c:v>5165247.3116114493</c:v>
                </c:pt>
                <c:pt idx="467">
                  <c:v>5176437.7582363877</c:v>
                </c:pt>
                <c:pt idx="468">
                  <c:v>5189569.266527527</c:v>
                </c:pt>
                <c:pt idx="469">
                  <c:v>5202793.7896690629</c:v>
                </c:pt>
                <c:pt idx="470">
                  <c:v>5216111.9865161832</c:v>
                </c:pt>
                <c:pt idx="471">
                  <c:v>5229524.5205909722</c:v>
                </c:pt>
                <c:pt idx="472">
                  <c:v>5243032.0601154566</c:v>
                </c:pt>
                <c:pt idx="473">
                  <c:v>5256635.2780449055</c:v>
                </c:pt>
                <c:pt idx="474">
                  <c:v>5270334.8521013558</c:v>
                </c:pt>
                <c:pt idx="475">
                  <c:v>5284131.4648073725</c:v>
                </c:pt>
                <c:pt idx="476">
                  <c:v>5298025.8035200564</c:v>
                </c:pt>
                <c:pt idx="477">
                  <c:v>5312018.5604652893</c:v>
                </c:pt>
                <c:pt idx="478">
                  <c:v>5326110.4327722164</c:v>
                </c:pt>
                <c:pt idx="479">
                  <c:v>5340302.1225079847</c:v>
                </c:pt>
                <c:pt idx="480">
                  <c:v>5356178.6208928507</c:v>
                </c:pt>
                <c:pt idx="481">
                  <c:v>5372167.5778079433</c:v>
                </c:pt>
                <c:pt idx="482">
                  <c:v>5388269.7898345171</c:v>
                </c:pt>
                <c:pt idx="483">
                  <c:v>5404486.0591962803</c:v>
                </c:pt>
                <c:pt idx="484">
                  <c:v>5420817.1937993541</c:v>
                </c:pt>
                <c:pt idx="485">
                  <c:v>5437264.0072725341</c:v>
                </c:pt>
                <c:pt idx="486">
                  <c:v>5453827.3190078167</c:v>
                </c:pt>
                <c:pt idx="487">
                  <c:v>5470507.9542012233</c:v>
                </c:pt>
                <c:pt idx="488">
                  <c:v>5487306.7438939158</c:v>
                </c:pt>
                <c:pt idx="489">
                  <c:v>5504224.5250135986</c:v>
                </c:pt>
                <c:pt idx="490">
                  <c:v>5521262.1404162133</c:v>
                </c:pt>
                <c:pt idx="491">
                  <c:v>5538420.4389279298</c:v>
                </c:pt>
                <c:pt idx="492">
                  <c:v>5555092.9691654053</c:v>
                </c:pt>
                <c:pt idx="493">
                  <c:v>5571883.5964920623</c:v>
                </c:pt>
                <c:pt idx="494">
                  <c:v>5588793.1574289491</c:v>
                </c:pt>
                <c:pt idx="495">
                  <c:v>5605822.4944224739</c:v>
                </c:pt>
              </c:numCache>
            </c:numRef>
          </c:val>
        </c:ser>
        <c:dLbls>
          <c:showLegendKey val="0"/>
          <c:showVal val="1"/>
          <c:showCatName val="0"/>
          <c:showSerName val="0"/>
          <c:showPercent val="0"/>
          <c:showBubbleSize val="0"/>
        </c:dLbls>
        <c:axId val="176937984"/>
        <c:axId val="177276032"/>
      </c:areaChart>
      <c:catAx>
        <c:axId val="176937984"/>
        <c:scaling>
          <c:orientation val="minMax"/>
        </c:scaling>
        <c:delete val="0"/>
        <c:axPos val="b"/>
        <c:title>
          <c:tx>
            <c:rich>
              <a:bodyPr/>
              <a:lstStyle/>
              <a:p>
                <a:pPr>
                  <a:defRPr/>
                </a:pPr>
                <a:r>
                  <a:rPr lang="en-US"/>
                  <a:t>AGE</a:t>
                </a:r>
              </a:p>
            </c:rich>
          </c:tx>
          <c:layout/>
          <c:overlay val="0"/>
        </c:title>
        <c:numFmt formatCode="General" sourceLinked="1"/>
        <c:majorTickMark val="out"/>
        <c:minorTickMark val="none"/>
        <c:tickLblPos val="nextTo"/>
        <c:crossAx val="177276032"/>
        <c:crosses val="autoZero"/>
        <c:auto val="1"/>
        <c:lblAlgn val="ctr"/>
        <c:lblOffset val="100"/>
        <c:noMultiLvlLbl val="0"/>
      </c:catAx>
      <c:valAx>
        <c:axId val="177276032"/>
        <c:scaling>
          <c:orientation val="minMax"/>
        </c:scaling>
        <c:delete val="0"/>
        <c:axPos val="l"/>
        <c:majorGridlines/>
        <c:numFmt formatCode="&quot;$&quot;#,##0" sourceLinked="1"/>
        <c:majorTickMark val="out"/>
        <c:minorTickMark val="none"/>
        <c:tickLblPos val="nextTo"/>
        <c:crossAx val="17693798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2400">
                <a:latin typeface="Times New Roman" panose="02020603050405020304" pitchFamily="18" charset="0"/>
                <a:cs typeface="Times New Roman" panose="02020603050405020304" pitchFamily="18" charset="0"/>
              </a:rPr>
              <a:t>Total Monthly Expenses</a:t>
            </a:r>
          </a:p>
        </c:rich>
      </c:tx>
      <c:layout>
        <c:manualLayout>
          <c:xMode val="edge"/>
          <c:yMode val="edge"/>
          <c:x val="0.21607266892779189"/>
          <c:y val="0.1349342481417953"/>
        </c:manualLayout>
      </c:layout>
      <c:overlay val="0"/>
    </c:title>
    <c:autoTitleDeleted val="0"/>
    <c:plotArea>
      <c:layout>
        <c:manualLayout>
          <c:layoutTarget val="inner"/>
          <c:xMode val="edge"/>
          <c:yMode val="edge"/>
          <c:x val="6.4369600208813674E-2"/>
          <c:y val="9.6730020816363477E-2"/>
          <c:w val="0.91205765577645337"/>
          <c:h val="0.78422011041723227"/>
        </c:manualLayout>
      </c:layout>
      <c:areaChart>
        <c:grouping val="standard"/>
        <c:varyColors val="0"/>
        <c:ser>
          <c:idx val="0"/>
          <c:order val="0"/>
          <c:tx>
            <c:v>Total Monthly Expenses</c:v>
          </c:tx>
          <c:cat>
            <c:numRef>
              <c:f>'Projected Retirement Drawdown'!$B$10:$B$505</c:f>
              <c:numCache>
                <c:formatCode>0.0</c:formatCode>
                <c:ptCount val="496"/>
                <c:pt idx="0" formatCode="General">
                  <c:v>56.3</c:v>
                </c:pt>
                <c:pt idx="1">
                  <c:v>56.4</c:v>
                </c:pt>
                <c:pt idx="2">
                  <c:v>56.5</c:v>
                </c:pt>
                <c:pt idx="3">
                  <c:v>56.5</c:v>
                </c:pt>
                <c:pt idx="4">
                  <c:v>56.6</c:v>
                </c:pt>
                <c:pt idx="5">
                  <c:v>56.7</c:v>
                </c:pt>
                <c:pt idx="6">
                  <c:v>56.8</c:v>
                </c:pt>
                <c:pt idx="7">
                  <c:v>56.9</c:v>
                </c:pt>
                <c:pt idx="8">
                  <c:v>57</c:v>
                </c:pt>
                <c:pt idx="9">
                  <c:v>57</c:v>
                </c:pt>
                <c:pt idx="10">
                  <c:v>57.1</c:v>
                </c:pt>
                <c:pt idx="11">
                  <c:v>57.2</c:v>
                </c:pt>
                <c:pt idx="12">
                  <c:v>57.3</c:v>
                </c:pt>
                <c:pt idx="13">
                  <c:v>57.4</c:v>
                </c:pt>
                <c:pt idx="14">
                  <c:v>57.5</c:v>
                </c:pt>
                <c:pt idx="15">
                  <c:v>57.5</c:v>
                </c:pt>
                <c:pt idx="16">
                  <c:v>57.6</c:v>
                </c:pt>
                <c:pt idx="17">
                  <c:v>57.7</c:v>
                </c:pt>
                <c:pt idx="18">
                  <c:v>57.8</c:v>
                </c:pt>
                <c:pt idx="19">
                  <c:v>57.9</c:v>
                </c:pt>
                <c:pt idx="20">
                  <c:v>58</c:v>
                </c:pt>
                <c:pt idx="21">
                  <c:v>58</c:v>
                </c:pt>
                <c:pt idx="22">
                  <c:v>58.1</c:v>
                </c:pt>
                <c:pt idx="23">
                  <c:v>58.2</c:v>
                </c:pt>
                <c:pt idx="24">
                  <c:v>58.3</c:v>
                </c:pt>
                <c:pt idx="25">
                  <c:v>58.4</c:v>
                </c:pt>
                <c:pt idx="26">
                  <c:v>58.5</c:v>
                </c:pt>
                <c:pt idx="27">
                  <c:v>58.5</c:v>
                </c:pt>
                <c:pt idx="28">
                  <c:v>58.6</c:v>
                </c:pt>
                <c:pt idx="29">
                  <c:v>58.7</c:v>
                </c:pt>
                <c:pt idx="30">
                  <c:v>58.8</c:v>
                </c:pt>
                <c:pt idx="31">
                  <c:v>58.9</c:v>
                </c:pt>
                <c:pt idx="32">
                  <c:v>59</c:v>
                </c:pt>
                <c:pt idx="33">
                  <c:v>59</c:v>
                </c:pt>
                <c:pt idx="34">
                  <c:v>59.1</c:v>
                </c:pt>
                <c:pt idx="35">
                  <c:v>59.2</c:v>
                </c:pt>
                <c:pt idx="36">
                  <c:v>59.3</c:v>
                </c:pt>
                <c:pt idx="37">
                  <c:v>59.4</c:v>
                </c:pt>
                <c:pt idx="38">
                  <c:v>59.5</c:v>
                </c:pt>
                <c:pt idx="39">
                  <c:v>59.5</c:v>
                </c:pt>
                <c:pt idx="40">
                  <c:v>59.6</c:v>
                </c:pt>
                <c:pt idx="41">
                  <c:v>59.7</c:v>
                </c:pt>
                <c:pt idx="42">
                  <c:v>59.8</c:v>
                </c:pt>
                <c:pt idx="43">
                  <c:v>59.9</c:v>
                </c:pt>
                <c:pt idx="44">
                  <c:v>60</c:v>
                </c:pt>
                <c:pt idx="45">
                  <c:v>60</c:v>
                </c:pt>
                <c:pt idx="46">
                  <c:v>60.1</c:v>
                </c:pt>
                <c:pt idx="47">
                  <c:v>60.2</c:v>
                </c:pt>
                <c:pt idx="48">
                  <c:v>60.3</c:v>
                </c:pt>
                <c:pt idx="49">
                  <c:v>60.4</c:v>
                </c:pt>
                <c:pt idx="50">
                  <c:v>60.5</c:v>
                </c:pt>
                <c:pt idx="51">
                  <c:v>60.5</c:v>
                </c:pt>
                <c:pt idx="52">
                  <c:v>60.6</c:v>
                </c:pt>
                <c:pt idx="53">
                  <c:v>60.7</c:v>
                </c:pt>
                <c:pt idx="54">
                  <c:v>60.8</c:v>
                </c:pt>
                <c:pt idx="55">
                  <c:v>60.9</c:v>
                </c:pt>
                <c:pt idx="56">
                  <c:v>61</c:v>
                </c:pt>
                <c:pt idx="57">
                  <c:v>61</c:v>
                </c:pt>
                <c:pt idx="58">
                  <c:v>61.1</c:v>
                </c:pt>
                <c:pt idx="59">
                  <c:v>61.2</c:v>
                </c:pt>
                <c:pt idx="60">
                  <c:v>61.3</c:v>
                </c:pt>
                <c:pt idx="61">
                  <c:v>61.4</c:v>
                </c:pt>
                <c:pt idx="62">
                  <c:v>61.5</c:v>
                </c:pt>
                <c:pt idx="63">
                  <c:v>61.5</c:v>
                </c:pt>
                <c:pt idx="64">
                  <c:v>61.6</c:v>
                </c:pt>
                <c:pt idx="65">
                  <c:v>61.7</c:v>
                </c:pt>
                <c:pt idx="66">
                  <c:v>61.8</c:v>
                </c:pt>
                <c:pt idx="67">
                  <c:v>61.9</c:v>
                </c:pt>
                <c:pt idx="68">
                  <c:v>62</c:v>
                </c:pt>
                <c:pt idx="69">
                  <c:v>62</c:v>
                </c:pt>
                <c:pt idx="70">
                  <c:v>62.1</c:v>
                </c:pt>
                <c:pt idx="71">
                  <c:v>62.2</c:v>
                </c:pt>
                <c:pt idx="72">
                  <c:v>62.3</c:v>
                </c:pt>
                <c:pt idx="73">
                  <c:v>62.4</c:v>
                </c:pt>
                <c:pt idx="74">
                  <c:v>62.5</c:v>
                </c:pt>
                <c:pt idx="75">
                  <c:v>62.5</c:v>
                </c:pt>
                <c:pt idx="76">
                  <c:v>62.6</c:v>
                </c:pt>
                <c:pt idx="77">
                  <c:v>62.7</c:v>
                </c:pt>
                <c:pt idx="78">
                  <c:v>62.8</c:v>
                </c:pt>
                <c:pt idx="79">
                  <c:v>62.9</c:v>
                </c:pt>
                <c:pt idx="80">
                  <c:v>63</c:v>
                </c:pt>
                <c:pt idx="81">
                  <c:v>63</c:v>
                </c:pt>
                <c:pt idx="82">
                  <c:v>63.1</c:v>
                </c:pt>
                <c:pt idx="83">
                  <c:v>63.2</c:v>
                </c:pt>
                <c:pt idx="84">
                  <c:v>63.3</c:v>
                </c:pt>
                <c:pt idx="85">
                  <c:v>63.4</c:v>
                </c:pt>
                <c:pt idx="86">
                  <c:v>63.5</c:v>
                </c:pt>
                <c:pt idx="87">
                  <c:v>63.5</c:v>
                </c:pt>
                <c:pt idx="88">
                  <c:v>63.6</c:v>
                </c:pt>
                <c:pt idx="89">
                  <c:v>63.7</c:v>
                </c:pt>
                <c:pt idx="90">
                  <c:v>63.8</c:v>
                </c:pt>
                <c:pt idx="91">
                  <c:v>63.9</c:v>
                </c:pt>
                <c:pt idx="92">
                  <c:v>64</c:v>
                </c:pt>
                <c:pt idx="93">
                  <c:v>64</c:v>
                </c:pt>
                <c:pt idx="94">
                  <c:v>64.099999999999994</c:v>
                </c:pt>
                <c:pt idx="95">
                  <c:v>64.2</c:v>
                </c:pt>
                <c:pt idx="96">
                  <c:v>64.3</c:v>
                </c:pt>
                <c:pt idx="97">
                  <c:v>64.400000000000006</c:v>
                </c:pt>
                <c:pt idx="98">
                  <c:v>64.5</c:v>
                </c:pt>
                <c:pt idx="99">
                  <c:v>64.5</c:v>
                </c:pt>
                <c:pt idx="100">
                  <c:v>64.599999999999994</c:v>
                </c:pt>
                <c:pt idx="101">
                  <c:v>64.7</c:v>
                </c:pt>
                <c:pt idx="102">
                  <c:v>64.8</c:v>
                </c:pt>
                <c:pt idx="103">
                  <c:v>64.900000000000006</c:v>
                </c:pt>
                <c:pt idx="104">
                  <c:v>65</c:v>
                </c:pt>
                <c:pt idx="105">
                  <c:v>65</c:v>
                </c:pt>
                <c:pt idx="106">
                  <c:v>65.099999999999994</c:v>
                </c:pt>
                <c:pt idx="107">
                  <c:v>65.2</c:v>
                </c:pt>
                <c:pt idx="108">
                  <c:v>65.3</c:v>
                </c:pt>
                <c:pt idx="109">
                  <c:v>65.400000000000006</c:v>
                </c:pt>
                <c:pt idx="110">
                  <c:v>65.5</c:v>
                </c:pt>
                <c:pt idx="111">
                  <c:v>65.5</c:v>
                </c:pt>
                <c:pt idx="112">
                  <c:v>65.599999999999994</c:v>
                </c:pt>
                <c:pt idx="113">
                  <c:v>65.7</c:v>
                </c:pt>
                <c:pt idx="114">
                  <c:v>65.8</c:v>
                </c:pt>
                <c:pt idx="115">
                  <c:v>65.900000000000006</c:v>
                </c:pt>
                <c:pt idx="116">
                  <c:v>66</c:v>
                </c:pt>
                <c:pt idx="117">
                  <c:v>66</c:v>
                </c:pt>
                <c:pt idx="118">
                  <c:v>66.099999999999994</c:v>
                </c:pt>
                <c:pt idx="119">
                  <c:v>66.2</c:v>
                </c:pt>
                <c:pt idx="120">
                  <c:v>66.3</c:v>
                </c:pt>
                <c:pt idx="121">
                  <c:v>66.400000000000006</c:v>
                </c:pt>
                <c:pt idx="122">
                  <c:v>66.5</c:v>
                </c:pt>
                <c:pt idx="123">
                  <c:v>66.5</c:v>
                </c:pt>
                <c:pt idx="124">
                  <c:v>66.599999999999994</c:v>
                </c:pt>
                <c:pt idx="125">
                  <c:v>66.7</c:v>
                </c:pt>
                <c:pt idx="126">
                  <c:v>66.8</c:v>
                </c:pt>
                <c:pt idx="127">
                  <c:v>66.900000000000006</c:v>
                </c:pt>
                <c:pt idx="128">
                  <c:v>67</c:v>
                </c:pt>
                <c:pt idx="129">
                  <c:v>67</c:v>
                </c:pt>
                <c:pt idx="130">
                  <c:v>67.099999999999994</c:v>
                </c:pt>
                <c:pt idx="131">
                  <c:v>67.2</c:v>
                </c:pt>
                <c:pt idx="132">
                  <c:v>67.3</c:v>
                </c:pt>
                <c:pt idx="133">
                  <c:v>67.400000000000006</c:v>
                </c:pt>
                <c:pt idx="134">
                  <c:v>67.5</c:v>
                </c:pt>
                <c:pt idx="135">
                  <c:v>67.5</c:v>
                </c:pt>
                <c:pt idx="136">
                  <c:v>67.599999999999994</c:v>
                </c:pt>
                <c:pt idx="137">
                  <c:v>67.7</c:v>
                </c:pt>
                <c:pt idx="138">
                  <c:v>67.8</c:v>
                </c:pt>
                <c:pt idx="139">
                  <c:v>67.900000000000006</c:v>
                </c:pt>
                <c:pt idx="140">
                  <c:v>68</c:v>
                </c:pt>
                <c:pt idx="141">
                  <c:v>68</c:v>
                </c:pt>
                <c:pt idx="142">
                  <c:v>68.099999999999994</c:v>
                </c:pt>
                <c:pt idx="143">
                  <c:v>68.2</c:v>
                </c:pt>
                <c:pt idx="144">
                  <c:v>68.3</c:v>
                </c:pt>
                <c:pt idx="145">
                  <c:v>68.400000000000006</c:v>
                </c:pt>
                <c:pt idx="146">
                  <c:v>68.5</c:v>
                </c:pt>
                <c:pt idx="147">
                  <c:v>68.5</c:v>
                </c:pt>
                <c:pt idx="148">
                  <c:v>68.599999999999994</c:v>
                </c:pt>
                <c:pt idx="149">
                  <c:v>68.7</c:v>
                </c:pt>
                <c:pt idx="150">
                  <c:v>68.8</c:v>
                </c:pt>
                <c:pt idx="151">
                  <c:v>68.900000000000006</c:v>
                </c:pt>
                <c:pt idx="152">
                  <c:v>69</c:v>
                </c:pt>
                <c:pt idx="153">
                  <c:v>69</c:v>
                </c:pt>
                <c:pt idx="154">
                  <c:v>69.099999999999994</c:v>
                </c:pt>
                <c:pt idx="155">
                  <c:v>69.2</c:v>
                </c:pt>
                <c:pt idx="156">
                  <c:v>69.3</c:v>
                </c:pt>
                <c:pt idx="157">
                  <c:v>69.400000000000006</c:v>
                </c:pt>
                <c:pt idx="158">
                  <c:v>69.5</c:v>
                </c:pt>
                <c:pt idx="159">
                  <c:v>69.5</c:v>
                </c:pt>
                <c:pt idx="160">
                  <c:v>69.599999999999994</c:v>
                </c:pt>
                <c:pt idx="161">
                  <c:v>69.7</c:v>
                </c:pt>
                <c:pt idx="162">
                  <c:v>69.8</c:v>
                </c:pt>
                <c:pt idx="163">
                  <c:v>69.900000000000006</c:v>
                </c:pt>
                <c:pt idx="164">
                  <c:v>70</c:v>
                </c:pt>
                <c:pt idx="165">
                  <c:v>70</c:v>
                </c:pt>
                <c:pt idx="166">
                  <c:v>70.099999999999994</c:v>
                </c:pt>
                <c:pt idx="167">
                  <c:v>70.2</c:v>
                </c:pt>
                <c:pt idx="168">
                  <c:v>70.3</c:v>
                </c:pt>
                <c:pt idx="169">
                  <c:v>70.400000000000006</c:v>
                </c:pt>
                <c:pt idx="170">
                  <c:v>70.5</c:v>
                </c:pt>
                <c:pt idx="171">
                  <c:v>70.5</c:v>
                </c:pt>
                <c:pt idx="172">
                  <c:v>70.599999999999994</c:v>
                </c:pt>
                <c:pt idx="173">
                  <c:v>70.7</c:v>
                </c:pt>
                <c:pt idx="174">
                  <c:v>70.8</c:v>
                </c:pt>
                <c:pt idx="175">
                  <c:v>70.900000000000006</c:v>
                </c:pt>
                <c:pt idx="176">
                  <c:v>71</c:v>
                </c:pt>
                <c:pt idx="177">
                  <c:v>71</c:v>
                </c:pt>
                <c:pt idx="178">
                  <c:v>71.099999999999994</c:v>
                </c:pt>
                <c:pt idx="179">
                  <c:v>71.2</c:v>
                </c:pt>
                <c:pt idx="180">
                  <c:v>71.3</c:v>
                </c:pt>
                <c:pt idx="181">
                  <c:v>71.400000000000006</c:v>
                </c:pt>
                <c:pt idx="182">
                  <c:v>71.5</c:v>
                </c:pt>
                <c:pt idx="183">
                  <c:v>71.5</c:v>
                </c:pt>
                <c:pt idx="184">
                  <c:v>71.599999999999994</c:v>
                </c:pt>
                <c:pt idx="185">
                  <c:v>71.7</c:v>
                </c:pt>
                <c:pt idx="186">
                  <c:v>71.8</c:v>
                </c:pt>
                <c:pt idx="187">
                  <c:v>71.900000000000006</c:v>
                </c:pt>
                <c:pt idx="188">
                  <c:v>72</c:v>
                </c:pt>
                <c:pt idx="189">
                  <c:v>72</c:v>
                </c:pt>
                <c:pt idx="190">
                  <c:v>72.099999999999994</c:v>
                </c:pt>
                <c:pt idx="191">
                  <c:v>72.2</c:v>
                </c:pt>
                <c:pt idx="192">
                  <c:v>72.3</c:v>
                </c:pt>
                <c:pt idx="193">
                  <c:v>72.400000000000006</c:v>
                </c:pt>
                <c:pt idx="194">
                  <c:v>72.5</c:v>
                </c:pt>
                <c:pt idx="195">
                  <c:v>72.5</c:v>
                </c:pt>
                <c:pt idx="196">
                  <c:v>72.599999999999994</c:v>
                </c:pt>
                <c:pt idx="197">
                  <c:v>72.7</c:v>
                </c:pt>
                <c:pt idx="198">
                  <c:v>72.8</c:v>
                </c:pt>
                <c:pt idx="199">
                  <c:v>72.900000000000006</c:v>
                </c:pt>
                <c:pt idx="200">
                  <c:v>73</c:v>
                </c:pt>
                <c:pt idx="201">
                  <c:v>73</c:v>
                </c:pt>
                <c:pt idx="202">
                  <c:v>73.099999999999994</c:v>
                </c:pt>
                <c:pt idx="203">
                  <c:v>73.2</c:v>
                </c:pt>
                <c:pt idx="204">
                  <c:v>73.3</c:v>
                </c:pt>
                <c:pt idx="205">
                  <c:v>73.400000000000006</c:v>
                </c:pt>
                <c:pt idx="206">
                  <c:v>73.5</c:v>
                </c:pt>
                <c:pt idx="207">
                  <c:v>73.5</c:v>
                </c:pt>
                <c:pt idx="208">
                  <c:v>73.599999999999994</c:v>
                </c:pt>
                <c:pt idx="209">
                  <c:v>73.7</c:v>
                </c:pt>
                <c:pt idx="210">
                  <c:v>73.8</c:v>
                </c:pt>
                <c:pt idx="211">
                  <c:v>73.900000000000006</c:v>
                </c:pt>
                <c:pt idx="212">
                  <c:v>74</c:v>
                </c:pt>
                <c:pt idx="213">
                  <c:v>74</c:v>
                </c:pt>
                <c:pt idx="214">
                  <c:v>74.099999999999994</c:v>
                </c:pt>
                <c:pt idx="215">
                  <c:v>74.2</c:v>
                </c:pt>
                <c:pt idx="216">
                  <c:v>74.3</c:v>
                </c:pt>
                <c:pt idx="217">
                  <c:v>74.400000000000006</c:v>
                </c:pt>
                <c:pt idx="218">
                  <c:v>74.5</c:v>
                </c:pt>
                <c:pt idx="219">
                  <c:v>74.5</c:v>
                </c:pt>
                <c:pt idx="220">
                  <c:v>74.599999999999994</c:v>
                </c:pt>
                <c:pt idx="221">
                  <c:v>74.7</c:v>
                </c:pt>
                <c:pt idx="222">
                  <c:v>74.8</c:v>
                </c:pt>
                <c:pt idx="223">
                  <c:v>74.900000000000006</c:v>
                </c:pt>
                <c:pt idx="224">
                  <c:v>75</c:v>
                </c:pt>
                <c:pt idx="225">
                  <c:v>75</c:v>
                </c:pt>
                <c:pt idx="226">
                  <c:v>75.099999999999994</c:v>
                </c:pt>
                <c:pt idx="227">
                  <c:v>75.2</c:v>
                </c:pt>
                <c:pt idx="228">
                  <c:v>75.3</c:v>
                </c:pt>
                <c:pt idx="229">
                  <c:v>75.400000000000006</c:v>
                </c:pt>
                <c:pt idx="230">
                  <c:v>75.5</c:v>
                </c:pt>
                <c:pt idx="231">
                  <c:v>75.5</c:v>
                </c:pt>
                <c:pt idx="232">
                  <c:v>75.599999999999994</c:v>
                </c:pt>
                <c:pt idx="233">
                  <c:v>75.7</c:v>
                </c:pt>
                <c:pt idx="234">
                  <c:v>75.8</c:v>
                </c:pt>
                <c:pt idx="235">
                  <c:v>75.900000000000006</c:v>
                </c:pt>
                <c:pt idx="236">
                  <c:v>76</c:v>
                </c:pt>
                <c:pt idx="237">
                  <c:v>76</c:v>
                </c:pt>
                <c:pt idx="238">
                  <c:v>76.099999999999994</c:v>
                </c:pt>
                <c:pt idx="239">
                  <c:v>76.2</c:v>
                </c:pt>
                <c:pt idx="240">
                  <c:v>76.3</c:v>
                </c:pt>
                <c:pt idx="241">
                  <c:v>76.400000000000006</c:v>
                </c:pt>
                <c:pt idx="242">
                  <c:v>76.5</c:v>
                </c:pt>
                <c:pt idx="243">
                  <c:v>76.5</c:v>
                </c:pt>
                <c:pt idx="244">
                  <c:v>76.599999999999994</c:v>
                </c:pt>
                <c:pt idx="245">
                  <c:v>76.7</c:v>
                </c:pt>
                <c:pt idx="246">
                  <c:v>76.8</c:v>
                </c:pt>
                <c:pt idx="247">
                  <c:v>76.900000000000006</c:v>
                </c:pt>
                <c:pt idx="248">
                  <c:v>77</c:v>
                </c:pt>
                <c:pt idx="249">
                  <c:v>77</c:v>
                </c:pt>
                <c:pt idx="250">
                  <c:v>77.099999999999994</c:v>
                </c:pt>
                <c:pt idx="251">
                  <c:v>77.2</c:v>
                </c:pt>
                <c:pt idx="252">
                  <c:v>77.3</c:v>
                </c:pt>
                <c:pt idx="253">
                  <c:v>77.400000000000006</c:v>
                </c:pt>
                <c:pt idx="254">
                  <c:v>77.5</c:v>
                </c:pt>
                <c:pt idx="255">
                  <c:v>77.5</c:v>
                </c:pt>
                <c:pt idx="256">
                  <c:v>77.599999999999994</c:v>
                </c:pt>
                <c:pt idx="257">
                  <c:v>77.7</c:v>
                </c:pt>
                <c:pt idx="258">
                  <c:v>77.8</c:v>
                </c:pt>
                <c:pt idx="259">
                  <c:v>77.900000000000006</c:v>
                </c:pt>
                <c:pt idx="260">
                  <c:v>78</c:v>
                </c:pt>
                <c:pt idx="261">
                  <c:v>78</c:v>
                </c:pt>
                <c:pt idx="262">
                  <c:v>78.099999999999994</c:v>
                </c:pt>
                <c:pt idx="263">
                  <c:v>78.2</c:v>
                </c:pt>
                <c:pt idx="264">
                  <c:v>78.3</c:v>
                </c:pt>
                <c:pt idx="265">
                  <c:v>78.400000000000006</c:v>
                </c:pt>
                <c:pt idx="266">
                  <c:v>78.5</c:v>
                </c:pt>
                <c:pt idx="267">
                  <c:v>78.5</c:v>
                </c:pt>
                <c:pt idx="268">
                  <c:v>78.599999999999994</c:v>
                </c:pt>
                <c:pt idx="269">
                  <c:v>78.7</c:v>
                </c:pt>
                <c:pt idx="270">
                  <c:v>78.8</c:v>
                </c:pt>
                <c:pt idx="271">
                  <c:v>78.900000000000006</c:v>
                </c:pt>
                <c:pt idx="272">
                  <c:v>79</c:v>
                </c:pt>
                <c:pt idx="273">
                  <c:v>79</c:v>
                </c:pt>
                <c:pt idx="274">
                  <c:v>79.099999999999994</c:v>
                </c:pt>
                <c:pt idx="275">
                  <c:v>79.2</c:v>
                </c:pt>
                <c:pt idx="276">
                  <c:v>79.3</c:v>
                </c:pt>
                <c:pt idx="277">
                  <c:v>79.400000000000006</c:v>
                </c:pt>
                <c:pt idx="278">
                  <c:v>79.5</c:v>
                </c:pt>
                <c:pt idx="279">
                  <c:v>79.5</c:v>
                </c:pt>
                <c:pt idx="280">
                  <c:v>79.599999999999994</c:v>
                </c:pt>
                <c:pt idx="281">
                  <c:v>79.7</c:v>
                </c:pt>
                <c:pt idx="282">
                  <c:v>79.8</c:v>
                </c:pt>
                <c:pt idx="283">
                  <c:v>79.900000000000006</c:v>
                </c:pt>
                <c:pt idx="284">
                  <c:v>80</c:v>
                </c:pt>
                <c:pt idx="285">
                  <c:v>80</c:v>
                </c:pt>
                <c:pt idx="286">
                  <c:v>80.099999999999994</c:v>
                </c:pt>
                <c:pt idx="287">
                  <c:v>80.2</c:v>
                </c:pt>
                <c:pt idx="288">
                  <c:v>80.3</c:v>
                </c:pt>
                <c:pt idx="289">
                  <c:v>80.400000000000006</c:v>
                </c:pt>
                <c:pt idx="290">
                  <c:v>80.5</c:v>
                </c:pt>
                <c:pt idx="291">
                  <c:v>80.5</c:v>
                </c:pt>
                <c:pt idx="292">
                  <c:v>80.599999999999994</c:v>
                </c:pt>
                <c:pt idx="293">
                  <c:v>80.7</c:v>
                </c:pt>
                <c:pt idx="294">
                  <c:v>80.8</c:v>
                </c:pt>
                <c:pt idx="295">
                  <c:v>80.900000000000006</c:v>
                </c:pt>
                <c:pt idx="296">
                  <c:v>81</c:v>
                </c:pt>
                <c:pt idx="297">
                  <c:v>81</c:v>
                </c:pt>
                <c:pt idx="298">
                  <c:v>81.099999999999994</c:v>
                </c:pt>
                <c:pt idx="299">
                  <c:v>81.2</c:v>
                </c:pt>
                <c:pt idx="300">
                  <c:v>81.3</c:v>
                </c:pt>
                <c:pt idx="301">
                  <c:v>81.400000000000006</c:v>
                </c:pt>
                <c:pt idx="302">
                  <c:v>81.5</c:v>
                </c:pt>
                <c:pt idx="303">
                  <c:v>81.5</c:v>
                </c:pt>
                <c:pt idx="304">
                  <c:v>81.599999999999994</c:v>
                </c:pt>
                <c:pt idx="305">
                  <c:v>81.7</c:v>
                </c:pt>
                <c:pt idx="306">
                  <c:v>81.8</c:v>
                </c:pt>
                <c:pt idx="307">
                  <c:v>81.900000000000006</c:v>
                </c:pt>
                <c:pt idx="308">
                  <c:v>82</c:v>
                </c:pt>
                <c:pt idx="309">
                  <c:v>82</c:v>
                </c:pt>
                <c:pt idx="310">
                  <c:v>82.1</c:v>
                </c:pt>
                <c:pt idx="311">
                  <c:v>82.2</c:v>
                </c:pt>
                <c:pt idx="312">
                  <c:v>82.3</c:v>
                </c:pt>
                <c:pt idx="313">
                  <c:v>82.4</c:v>
                </c:pt>
                <c:pt idx="314">
                  <c:v>82.5</c:v>
                </c:pt>
                <c:pt idx="315">
                  <c:v>82.5</c:v>
                </c:pt>
                <c:pt idx="316">
                  <c:v>82.6</c:v>
                </c:pt>
                <c:pt idx="317">
                  <c:v>82.7</c:v>
                </c:pt>
                <c:pt idx="318">
                  <c:v>82.8</c:v>
                </c:pt>
                <c:pt idx="319">
                  <c:v>82.9</c:v>
                </c:pt>
                <c:pt idx="320">
                  <c:v>83</c:v>
                </c:pt>
                <c:pt idx="321">
                  <c:v>83</c:v>
                </c:pt>
                <c:pt idx="322">
                  <c:v>83.1</c:v>
                </c:pt>
                <c:pt idx="323">
                  <c:v>83.2</c:v>
                </c:pt>
                <c:pt idx="324">
                  <c:v>83.3</c:v>
                </c:pt>
                <c:pt idx="325">
                  <c:v>83.4</c:v>
                </c:pt>
                <c:pt idx="326">
                  <c:v>83.5</c:v>
                </c:pt>
                <c:pt idx="327">
                  <c:v>83.5</c:v>
                </c:pt>
                <c:pt idx="328">
                  <c:v>83.6</c:v>
                </c:pt>
                <c:pt idx="329">
                  <c:v>83.7</c:v>
                </c:pt>
                <c:pt idx="330">
                  <c:v>83.8</c:v>
                </c:pt>
                <c:pt idx="331">
                  <c:v>83.9</c:v>
                </c:pt>
                <c:pt idx="332">
                  <c:v>84</c:v>
                </c:pt>
                <c:pt idx="333">
                  <c:v>84</c:v>
                </c:pt>
                <c:pt idx="334">
                  <c:v>84.1</c:v>
                </c:pt>
                <c:pt idx="335">
                  <c:v>84.2</c:v>
                </c:pt>
                <c:pt idx="336">
                  <c:v>84.3</c:v>
                </c:pt>
                <c:pt idx="337">
                  <c:v>84.4</c:v>
                </c:pt>
                <c:pt idx="338">
                  <c:v>84.5</c:v>
                </c:pt>
                <c:pt idx="339">
                  <c:v>84.5</c:v>
                </c:pt>
                <c:pt idx="340">
                  <c:v>84.6</c:v>
                </c:pt>
                <c:pt idx="341">
                  <c:v>84.7</c:v>
                </c:pt>
                <c:pt idx="342">
                  <c:v>84.8</c:v>
                </c:pt>
                <c:pt idx="343">
                  <c:v>84.9</c:v>
                </c:pt>
                <c:pt idx="344">
                  <c:v>85</c:v>
                </c:pt>
                <c:pt idx="345">
                  <c:v>85</c:v>
                </c:pt>
                <c:pt idx="346">
                  <c:v>85.1</c:v>
                </c:pt>
                <c:pt idx="347">
                  <c:v>85.2</c:v>
                </c:pt>
                <c:pt idx="348">
                  <c:v>85.3</c:v>
                </c:pt>
                <c:pt idx="349">
                  <c:v>85.4</c:v>
                </c:pt>
                <c:pt idx="350">
                  <c:v>85.5</c:v>
                </c:pt>
                <c:pt idx="351">
                  <c:v>85.5</c:v>
                </c:pt>
                <c:pt idx="352">
                  <c:v>85.6</c:v>
                </c:pt>
                <c:pt idx="353">
                  <c:v>85.7</c:v>
                </c:pt>
                <c:pt idx="354">
                  <c:v>85.8</c:v>
                </c:pt>
                <c:pt idx="355">
                  <c:v>85.9</c:v>
                </c:pt>
                <c:pt idx="356">
                  <c:v>86</c:v>
                </c:pt>
                <c:pt idx="357">
                  <c:v>86</c:v>
                </c:pt>
                <c:pt idx="358">
                  <c:v>86.1</c:v>
                </c:pt>
                <c:pt idx="359">
                  <c:v>86.2</c:v>
                </c:pt>
                <c:pt idx="360">
                  <c:v>86.3</c:v>
                </c:pt>
                <c:pt idx="361">
                  <c:v>86.4</c:v>
                </c:pt>
                <c:pt idx="362">
                  <c:v>86.5</c:v>
                </c:pt>
                <c:pt idx="363">
                  <c:v>86.5</c:v>
                </c:pt>
                <c:pt idx="364">
                  <c:v>86.6</c:v>
                </c:pt>
                <c:pt idx="365">
                  <c:v>86.7</c:v>
                </c:pt>
                <c:pt idx="366">
                  <c:v>86.8</c:v>
                </c:pt>
                <c:pt idx="367">
                  <c:v>86.9</c:v>
                </c:pt>
                <c:pt idx="368">
                  <c:v>87</c:v>
                </c:pt>
                <c:pt idx="369">
                  <c:v>87</c:v>
                </c:pt>
                <c:pt idx="370">
                  <c:v>87.1</c:v>
                </c:pt>
                <c:pt idx="371">
                  <c:v>87.2</c:v>
                </c:pt>
                <c:pt idx="372">
                  <c:v>87.3</c:v>
                </c:pt>
                <c:pt idx="373">
                  <c:v>87.4</c:v>
                </c:pt>
                <c:pt idx="374">
                  <c:v>87.5</c:v>
                </c:pt>
                <c:pt idx="375">
                  <c:v>87.5</c:v>
                </c:pt>
                <c:pt idx="376">
                  <c:v>87.6</c:v>
                </c:pt>
                <c:pt idx="377">
                  <c:v>87.7</c:v>
                </c:pt>
                <c:pt idx="378">
                  <c:v>87.8</c:v>
                </c:pt>
                <c:pt idx="379">
                  <c:v>87.9</c:v>
                </c:pt>
                <c:pt idx="380">
                  <c:v>88</c:v>
                </c:pt>
                <c:pt idx="381">
                  <c:v>88</c:v>
                </c:pt>
                <c:pt idx="382">
                  <c:v>88.1</c:v>
                </c:pt>
                <c:pt idx="383">
                  <c:v>88.2</c:v>
                </c:pt>
                <c:pt idx="384">
                  <c:v>88.3</c:v>
                </c:pt>
                <c:pt idx="385">
                  <c:v>88.4</c:v>
                </c:pt>
                <c:pt idx="386">
                  <c:v>88.5</c:v>
                </c:pt>
                <c:pt idx="387">
                  <c:v>88.5</c:v>
                </c:pt>
                <c:pt idx="388">
                  <c:v>88.6</c:v>
                </c:pt>
                <c:pt idx="389">
                  <c:v>88.7</c:v>
                </c:pt>
                <c:pt idx="390">
                  <c:v>88.8</c:v>
                </c:pt>
                <c:pt idx="391">
                  <c:v>88.9</c:v>
                </c:pt>
                <c:pt idx="392">
                  <c:v>89</c:v>
                </c:pt>
                <c:pt idx="393">
                  <c:v>89</c:v>
                </c:pt>
                <c:pt idx="394">
                  <c:v>89.1</c:v>
                </c:pt>
                <c:pt idx="395">
                  <c:v>89.2</c:v>
                </c:pt>
                <c:pt idx="396">
                  <c:v>89.3</c:v>
                </c:pt>
                <c:pt idx="397">
                  <c:v>89.4</c:v>
                </c:pt>
                <c:pt idx="398">
                  <c:v>89.5</c:v>
                </c:pt>
                <c:pt idx="399">
                  <c:v>89.5</c:v>
                </c:pt>
                <c:pt idx="400">
                  <c:v>89.6</c:v>
                </c:pt>
                <c:pt idx="401">
                  <c:v>89.7</c:v>
                </c:pt>
                <c:pt idx="402">
                  <c:v>89.8</c:v>
                </c:pt>
                <c:pt idx="403">
                  <c:v>89.9</c:v>
                </c:pt>
                <c:pt idx="404">
                  <c:v>90</c:v>
                </c:pt>
                <c:pt idx="405">
                  <c:v>90</c:v>
                </c:pt>
                <c:pt idx="406">
                  <c:v>90.1</c:v>
                </c:pt>
                <c:pt idx="407">
                  <c:v>90.2</c:v>
                </c:pt>
                <c:pt idx="408">
                  <c:v>90.3</c:v>
                </c:pt>
                <c:pt idx="409">
                  <c:v>90.4</c:v>
                </c:pt>
                <c:pt idx="410">
                  <c:v>90.5</c:v>
                </c:pt>
                <c:pt idx="411">
                  <c:v>90.5</c:v>
                </c:pt>
                <c:pt idx="412">
                  <c:v>90.6</c:v>
                </c:pt>
                <c:pt idx="413">
                  <c:v>90.7</c:v>
                </c:pt>
                <c:pt idx="414">
                  <c:v>90.8</c:v>
                </c:pt>
                <c:pt idx="415">
                  <c:v>90.9</c:v>
                </c:pt>
                <c:pt idx="416">
                  <c:v>91</c:v>
                </c:pt>
                <c:pt idx="417">
                  <c:v>91</c:v>
                </c:pt>
                <c:pt idx="418">
                  <c:v>91.1</c:v>
                </c:pt>
                <c:pt idx="419">
                  <c:v>91.2</c:v>
                </c:pt>
                <c:pt idx="420">
                  <c:v>91.3</c:v>
                </c:pt>
                <c:pt idx="421">
                  <c:v>91.4</c:v>
                </c:pt>
                <c:pt idx="422">
                  <c:v>91.5</c:v>
                </c:pt>
                <c:pt idx="423">
                  <c:v>91.5</c:v>
                </c:pt>
                <c:pt idx="424">
                  <c:v>91.6</c:v>
                </c:pt>
                <c:pt idx="425">
                  <c:v>91.7</c:v>
                </c:pt>
                <c:pt idx="426">
                  <c:v>91.8</c:v>
                </c:pt>
                <c:pt idx="427">
                  <c:v>91.9</c:v>
                </c:pt>
                <c:pt idx="428">
                  <c:v>92</c:v>
                </c:pt>
                <c:pt idx="429">
                  <c:v>92</c:v>
                </c:pt>
                <c:pt idx="430">
                  <c:v>92.1</c:v>
                </c:pt>
                <c:pt idx="431">
                  <c:v>92.2</c:v>
                </c:pt>
                <c:pt idx="432">
                  <c:v>92.3</c:v>
                </c:pt>
                <c:pt idx="433">
                  <c:v>92.4</c:v>
                </c:pt>
                <c:pt idx="434">
                  <c:v>92.5</c:v>
                </c:pt>
                <c:pt idx="435">
                  <c:v>92.5</c:v>
                </c:pt>
                <c:pt idx="436">
                  <c:v>92.6</c:v>
                </c:pt>
                <c:pt idx="437">
                  <c:v>92.7</c:v>
                </c:pt>
                <c:pt idx="438">
                  <c:v>92.8</c:v>
                </c:pt>
                <c:pt idx="439">
                  <c:v>92.9</c:v>
                </c:pt>
                <c:pt idx="440">
                  <c:v>93</c:v>
                </c:pt>
                <c:pt idx="441">
                  <c:v>93</c:v>
                </c:pt>
                <c:pt idx="442">
                  <c:v>93.1</c:v>
                </c:pt>
                <c:pt idx="443">
                  <c:v>93.2</c:v>
                </c:pt>
                <c:pt idx="444">
                  <c:v>93.3</c:v>
                </c:pt>
                <c:pt idx="445">
                  <c:v>93.4</c:v>
                </c:pt>
                <c:pt idx="446">
                  <c:v>93.5</c:v>
                </c:pt>
                <c:pt idx="447">
                  <c:v>93.5</c:v>
                </c:pt>
                <c:pt idx="448">
                  <c:v>93.6</c:v>
                </c:pt>
                <c:pt idx="449">
                  <c:v>93.7</c:v>
                </c:pt>
                <c:pt idx="450">
                  <c:v>93.8</c:v>
                </c:pt>
                <c:pt idx="451">
                  <c:v>93.9</c:v>
                </c:pt>
                <c:pt idx="452">
                  <c:v>94</c:v>
                </c:pt>
                <c:pt idx="453">
                  <c:v>94</c:v>
                </c:pt>
                <c:pt idx="454">
                  <c:v>94.1</c:v>
                </c:pt>
                <c:pt idx="455">
                  <c:v>94.2</c:v>
                </c:pt>
                <c:pt idx="456">
                  <c:v>94.3</c:v>
                </c:pt>
                <c:pt idx="457">
                  <c:v>94.4</c:v>
                </c:pt>
                <c:pt idx="458">
                  <c:v>94.5</c:v>
                </c:pt>
                <c:pt idx="459">
                  <c:v>94.5</c:v>
                </c:pt>
                <c:pt idx="460">
                  <c:v>94.6</c:v>
                </c:pt>
                <c:pt idx="461">
                  <c:v>94.7</c:v>
                </c:pt>
                <c:pt idx="462">
                  <c:v>94.8</c:v>
                </c:pt>
                <c:pt idx="463">
                  <c:v>94.9</c:v>
                </c:pt>
                <c:pt idx="464">
                  <c:v>95</c:v>
                </c:pt>
                <c:pt idx="465">
                  <c:v>95</c:v>
                </c:pt>
                <c:pt idx="466">
                  <c:v>95.1</c:v>
                </c:pt>
                <c:pt idx="467">
                  <c:v>95.2</c:v>
                </c:pt>
                <c:pt idx="468">
                  <c:v>95.3</c:v>
                </c:pt>
                <c:pt idx="469">
                  <c:v>95.4</c:v>
                </c:pt>
                <c:pt idx="470">
                  <c:v>95.5</c:v>
                </c:pt>
                <c:pt idx="471">
                  <c:v>95.5</c:v>
                </c:pt>
                <c:pt idx="472">
                  <c:v>95.6</c:v>
                </c:pt>
                <c:pt idx="473">
                  <c:v>95.7</c:v>
                </c:pt>
                <c:pt idx="474">
                  <c:v>95.8</c:v>
                </c:pt>
                <c:pt idx="475">
                  <c:v>95.9</c:v>
                </c:pt>
                <c:pt idx="476">
                  <c:v>96</c:v>
                </c:pt>
                <c:pt idx="477">
                  <c:v>96</c:v>
                </c:pt>
                <c:pt idx="478">
                  <c:v>96.1</c:v>
                </c:pt>
                <c:pt idx="479">
                  <c:v>96.2</c:v>
                </c:pt>
                <c:pt idx="480">
                  <c:v>96.3</c:v>
                </c:pt>
                <c:pt idx="481">
                  <c:v>96.4</c:v>
                </c:pt>
                <c:pt idx="482">
                  <c:v>96.5</c:v>
                </c:pt>
                <c:pt idx="483">
                  <c:v>96.5</c:v>
                </c:pt>
                <c:pt idx="484">
                  <c:v>96.6</c:v>
                </c:pt>
                <c:pt idx="485">
                  <c:v>96.7</c:v>
                </c:pt>
                <c:pt idx="486">
                  <c:v>96.8</c:v>
                </c:pt>
                <c:pt idx="487">
                  <c:v>96.9</c:v>
                </c:pt>
                <c:pt idx="488">
                  <c:v>97</c:v>
                </c:pt>
                <c:pt idx="489">
                  <c:v>97</c:v>
                </c:pt>
                <c:pt idx="490">
                  <c:v>97.1</c:v>
                </c:pt>
                <c:pt idx="491">
                  <c:v>97.2</c:v>
                </c:pt>
                <c:pt idx="492">
                  <c:v>97.3</c:v>
                </c:pt>
                <c:pt idx="493">
                  <c:v>97.4</c:v>
                </c:pt>
                <c:pt idx="494">
                  <c:v>97.5</c:v>
                </c:pt>
                <c:pt idx="495">
                  <c:v>97.5</c:v>
                </c:pt>
              </c:numCache>
            </c:numRef>
          </c:cat>
          <c:val>
            <c:numRef>
              <c:f>'Projected Retirement Drawdown'!$AN$10:$AN$505</c:f>
              <c:numCache>
                <c:formatCode>"$"#,##0</c:formatCode>
                <c:ptCount val="496"/>
                <c:pt idx="0">
                  <c:v>7116.1948837563123</c:v>
                </c:pt>
                <c:pt idx="1">
                  <c:v>7116.1948837563123</c:v>
                </c:pt>
                <c:pt idx="2">
                  <c:v>7116.1948837563123</c:v>
                </c:pt>
                <c:pt idx="3">
                  <c:v>7116.1948837563123</c:v>
                </c:pt>
                <c:pt idx="4">
                  <c:v>7116.1948837563123</c:v>
                </c:pt>
                <c:pt idx="5">
                  <c:v>7116.1948837563123</c:v>
                </c:pt>
                <c:pt idx="6">
                  <c:v>7116.1948837563123</c:v>
                </c:pt>
                <c:pt idx="7">
                  <c:v>7116.1948837563123</c:v>
                </c:pt>
                <c:pt idx="8">
                  <c:v>7116.1948837563123</c:v>
                </c:pt>
                <c:pt idx="9">
                  <c:v>7116.1948837563123</c:v>
                </c:pt>
                <c:pt idx="10">
                  <c:v>7116.1948837563123</c:v>
                </c:pt>
                <c:pt idx="11">
                  <c:v>7297.8983713544485</c:v>
                </c:pt>
                <c:pt idx="12">
                  <c:v>7297.8983713544485</c:v>
                </c:pt>
                <c:pt idx="13">
                  <c:v>7297.8983713544485</c:v>
                </c:pt>
                <c:pt idx="14">
                  <c:v>7297.8983713544485</c:v>
                </c:pt>
                <c:pt idx="15">
                  <c:v>7297.8983713544485</c:v>
                </c:pt>
                <c:pt idx="16">
                  <c:v>7297.8983713544485</c:v>
                </c:pt>
                <c:pt idx="17">
                  <c:v>7297.8983713544485</c:v>
                </c:pt>
                <c:pt idx="18">
                  <c:v>7297.8983713544485</c:v>
                </c:pt>
                <c:pt idx="19">
                  <c:v>7297.8983713544485</c:v>
                </c:pt>
                <c:pt idx="20">
                  <c:v>7297.8983713544485</c:v>
                </c:pt>
                <c:pt idx="21">
                  <c:v>7297.8983713544485</c:v>
                </c:pt>
                <c:pt idx="22">
                  <c:v>7297.8983713544485</c:v>
                </c:pt>
                <c:pt idx="23">
                  <c:v>7500.7965580450928</c:v>
                </c:pt>
                <c:pt idx="24">
                  <c:v>7500.7965580450928</c:v>
                </c:pt>
                <c:pt idx="25">
                  <c:v>7500.7965580450928</c:v>
                </c:pt>
                <c:pt idx="26">
                  <c:v>7500.7965580450928</c:v>
                </c:pt>
                <c:pt idx="27">
                  <c:v>7500.7965580450928</c:v>
                </c:pt>
                <c:pt idx="28">
                  <c:v>7500.7965580450928</c:v>
                </c:pt>
                <c:pt idx="29">
                  <c:v>7500.7965580450928</c:v>
                </c:pt>
                <c:pt idx="30">
                  <c:v>7500.7965580450928</c:v>
                </c:pt>
                <c:pt idx="31">
                  <c:v>7500.7965580450928</c:v>
                </c:pt>
                <c:pt idx="32">
                  <c:v>7500.7965580450928</c:v>
                </c:pt>
                <c:pt idx="33">
                  <c:v>7500.7965580450928</c:v>
                </c:pt>
                <c:pt idx="34">
                  <c:v>7500.7965580450928</c:v>
                </c:pt>
                <c:pt idx="35">
                  <c:v>7746.3489642258919</c:v>
                </c:pt>
                <c:pt idx="36">
                  <c:v>7746.3489642258919</c:v>
                </c:pt>
                <c:pt idx="37">
                  <c:v>7746.3489642258919</c:v>
                </c:pt>
                <c:pt idx="38">
                  <c:v>7746.3489642258919</c:v>
                </c:pt>
                <c:pt idx="39">
                  <c:v>7746.3489642258919</c:v>
                </c:pt>
                <c:pt idx="40">
                  <c:v>7746.3489642258919</c:v>
                </c:pt>
                <c:pt idx="41">
                  <c:v>7746.3489642258919</c:v>
                </c:pt>
                <c:pt idx="42">
                  <c:v>7746.3489642258919</c:v>
                </c:pt>
                <c:pt idx="43">
                  <c:v>7746.3489642258919</c:v>
                </c:pt>
                <c:pt idx="44">
                  <c:v>7746.3489642258919</c:v>
                </c:pt>
                <c:pt idx="45">
                  <c:v>7746.3489642258919</c:v>
                </c:pt>
                <c:pt idx="46">
                  <c:v>7746.3489642258919</c:v>
                </c:pt>
                <c:pt idx="47">
                  <c:v>8009.4158860631496</c:v>
                </c:pt>
                <c:pt idx="48">
                  <c:v>8009.4158860631496</c:v>
                </c:pt>
                <c:pt idx="49">
                  <c:v>8009.4158860631496</c:v>
                </c:pt>
                <c:pt idx="50">
                  <c:v>8009.4158860631496</c:v>
                </c:pt>
                <c:pt idx="51">
                  <c:v>8009.4158860631496</c:v>
                </c:pt>
                <c:pt idx="52">
                  <c:v>8009.4158860631496</c:v>
                </c:pt>
                <c:pt idx="53">
                  <c:v>8009.4158860631496</c:v>
                </c:pt>
                <c:pt idx="54">
                  <c:v>8009.4158860631496</c:v>
                </c:pt>
                <c:pt idx="55">
                  <c:v>8009.4158860631496</c:v>
                </c:pt>
                <c:pt idx="56">
                  <c:v>8009.4158860631496</c:v>
                </c:pt>
                <c:pt idx="57">
                  <c:v>8009.4158860631496</c:v>
                </c:pt>
                <c:pt idx="58">
                  <c:v>8009.4158860631496</c:v>
                </c:pt>
                <c:pt idx="59">
                  <c:v>8283.9282207265423</c:v>
                </c:pt>
                <c:pt idx="60">
                  <c:v>8283.9282207265423</c:v>
                </c:pt>
                <c:pt idx="61">
                  <c:v>8283.9282207265423</c:v>
                </c:pt>
                <c:pt idx="62">
                  <c:v>8283.9282207265423</c:v>
                </c:pt>
                <c:pt idx="63">
                  <c:v>8283.9282207265423</c:v>
                </c:pt>
                <c:pt idx="64">
                  <c:v>8283.9282207265423</c:v>
                </c:pt>
                <c:pt idx="65">
                  <c:v>8283.9282207265423</c:v>
                </c:pt>
                <c:pt idx="66">
                  <c:v>8283.9282207265423</c:v>
                </c:pt>
                <c:pt idx="67">
                  <c:v>8283.9282207265423</c:v>
                </c:pt>
                <c:pt idx="68">
                  <c:v>8283.9282207265423</c:v>
                </c:pt>
                <c:pt idx="69">
                  <c:v>8283.9282207265423</c:v>
                </c:pt>
                <c:pt idx="70">
                  <c:v>8283.9282207265423</c:v>
                </c:pt>
                <c:pt idx="71">
                  <c:v>8606.7157428605205</c:v>
                </c:pt>
                <c:pt idx="72">
                  <c:v>8606.7157428605205</c:v>
                </c:pt>
                <c:pt idx="73">
                  <c:v>8606.7157428605205</c:v>
                </c:pt>
                <c:pt idx="74">
                  <c:v>8606.7157428605205</c:v>
                </c:pt>
                <c:pt idx="75">
                  <c:v>8606.7157428605205</c:v>
                </c:pt>
                <c:pt idx="76">
                  <c:v>8606.7157428605205</c:v>
                </c:pt>
                <c:pt idx="77">
                  <c:v>8606.7157428605205</c:v>
                </c:pt>
                <c:pt idx="78">
                  <c:v>8606.7157428605205</c:v>
                </c:pt>
                <c:pt idx="79">
                  <c:v>8606.7157428605205</c:v>
                </c:pt>
                <c:pt idx="80">
                  <c:v>8606.7157428605205</c:v>
                </c:pt>
                <c:pt idx="81">
                  <c:v>8606.7157428605205</c:v>
                </c:pt>
                <c:pt idx="82">
                  <c:v>8606.7157428605205</c:v>
                </c:pt>
                <c:pt idx="83">
                  <c:v>8980.6391047580855</c:v>
                </c:pt>
                <c:pt idx="84">
                  <c:v>8980.6391047580855</c:v>
                </c:pt>
                <c:pt idx="85">
                  <c:v>8980.6391047580855</c:v>
                </c:pt>
                <c:pt idx="86">
                  <c:v>8980.6391047580855</c:v>
                </c:pt>
                <c:pt idx="87">
                  <c:v>8980.6391047580855</c:v>
                </c:pt>
                <c:pt idx="88">
                  <c:v>8980.6391047580855</c:v>
                </c:pt>
                <c:pt idx="89">
                  <c:v>8980.6391047580855</c:v>
                </c:pt>
                <c:pt idx="90">
                  <c:v>8980.6391047580855</c:v>
                </c:pt>
                <c:pt idx="91">
                  <c:v>8980.6391047580855</c:v>
                </c:pt>
                <c:pt idx="92">
                  <c:v>8980.6391047580855</c:v>
                </c:pt>
                <c:pt idx="93">
                  <c:v>8980.6391047580855</c:v>
                </c:pt>
                <c:pt idx="94">
                  <c:v>8980.6391047580855</c:v>
                </c:pt>
                <c:pt idx="95">
                  <c:v>9305.6339313591016</c:v>
                </c:pt>
                <c:pt idx="96">
                  <c:v>9305.6339313591016</c:v>
                </c:pt>
                <c:pt idx="97">
                  <c:v>9305.6339313591016</c:v>
                </c:pt>
                <c:pt idx="98">
                  <c:v>9305.6339313591016</c:v>
                </c:pt>
                <c:pt idx="99">
                  <c:v>9305.6339313591016</c:v>
                </c:pt>
                <c:pt idx="100">
                  <c:v>9305.6339313591016</c:v>
                </c:pt>
                <c:pt idx="101">
                  <c:v>9305.6339313591016</c:v>
                </c:pt>
                <c:pt idx="102">
                  <c:v>9305.6339313591016</c:v>
                </c:pt>
                <c:pt idx="103">
                  <c:v>9305.6339313591016</c:v>
                </c:pt>
                <c:pt idx="104">
                  <c:v>9430.9672646924337</c:v>
                </c:pt>
                <c:pt idx="105">
                  <c:v>9430.9672646924337</c:v>
                </c:pt>
                <c:pt idx="106">
                  <c:v>9430.9672646924337</c:v>
                </c:pt>
                <c:pt idx="107">
                  <c:v>9731.4124635860062</c:v>
                </c:pt>
                <c:pt idx="108">
                  <c:v>9731.4124635860062</c:v>
                </c:pt>
                <c:pt idx="109">
                  <c:v>9731.4124635860062</c:v>
                </c:pt>
                <c:pt idx="110">
                  <c:v>9731.4124635860062</c:v>
                </c:pt>
                <c:pt idx="111">
                  <c:v>9731.4124635860062</c:v>
                </c:pt>
                <c:pt idx="112">
                  <c:v>9731.4124635860062</c:v>
                </c:pt>
                <c:pt idx="113">
                  <c:v>9731.4124635860062</c:v>
                </c:pt>
                <c:pt idx="114">
                  <c:v>9731.4124635860062</c:v>
                </c:pt>
                <c:pt idx="115">
                  <c:v>9731.4124635860062</c:v>
                </c:pt>
                <c:pt idx="116">
                  <c:v>9731.4124635860062</c:v>
                </c:pt>
                <c:pt idx="117">
                  <c:v>9731.4124635860062</c:v>
                </c:pt>
                <c:pt idx="118">
                  <c:v>9731.4124635860062</c:v>
                </c:pt>
                <c:pt idx="119">
                  <c:v>9993.3431974076884</c:v>
                </c:pt>
                <c:pt idx="120">
                  <c:v>9993.3431974076884</c:v>
                </c:pt>
                <c:pt idx="121">
                  <c:v>9993.3431974076884</c:v>
                </c:pt>
                <c:pt idx="122">
                  <c:v>9993.3431974076884</c:v>
                </c:pt>
                <c:pt idx="123">
                  <c:v>9993.3431974076884</c:v>
                </c:pt>
                <c:pt idx="124">
                  <c:v>9993.3431974076884</c:v>
                </c:pt>
                <c:pt idx="125">
                  <c:v>9993.3431974076884</c:v>
                </c:pt>
                <c:pt idx="126">
                  <c:v>9993.3431974076884</c:v>
                </c:pt>
                <c:pt idx="127">
                  <c:v>9993.3431974076884</c:v>
                </c:pt>
                <c:pt idx="128">
                  <c:v>9993.3431974076884</c:v>
                </c:pt>
                <c:pt idx="129">
                  <c:v>9993.3431974076884</c:v>
                </c:pt>
                <c:pt idx="130">
                  <c:v>9993.3431974076884</c:v>
                </c:pt>
                <c:pt idx="131">
                  <c:v>10315.372245969013</c:v>
                </c:pt>
                <c:pt idx="132">
                  <c:v>10315.372245969013</c:v>
                </c:pt>
                <c:pt idx="133">
                  <c:v>10315.372245969013</c:v>
                </c:pt>
                <c:pt idx="134">
                  <c:v>10315.372245969013</c:v>
                </c:pt>
                <c:pt idx="135">
                  <c:v>10315.372245969013</c:v>
                </c:pt>
                <c:pt idx="136">
                  <c:v>10315.372245969013</c:v>
                </c:pt>
                <c:pt idx="137">
                  <c:v>10315.372245969013</c:v>
                </c:pt>
                <c:pt idx="138">
                  <c:v>10315.372245969013</c:v>
                </c:pt>
                <c:pt idx="139">
                  <c:v>10315.372245969013</c:v>
                </c:pt>
                <c:pt idx="140">
                  <c:v>10315.372245969013</c:v>
                </c:pt>
                <c:pt idx="141">
                  <c:v>10315.372245969013</c:v>
                </c:pt>
                <c:pt idx="142">
                  <c:v>10315.372245969013</c:v>
                </c:pt>
                <c:pt idx="143">
                  <c:v>10661.450816750099</c:v>
                </c:pt>
                <c:pt idx="144">
                  <c:v>10661.450816750099</c:v>
                </c:pt>
                <c:pt idx="145">
                  <c:v>10661.450816750099</c:v>
                </c:pt>
                <c:pt idx="146">
                  <c:v>10661.450816750099</c:v>
                </c:pt>
                <c:pt idx="147">
                  <c:v>10661.450816750099</c:v>
                </c:pt>
                <c:pt idx="148">
                  <c:v>10661.450816750099</c:v>
                </c:pt>
                <c:pt idx="149">
                  <c:v>10661.450816750099</c:v>
                </c:pt>
                <c:pt idx="150">
                  <c:v>10661.450816750099</c:v>
                </c:pt>
                <c:pt idx="151">
                  <c:v>10661.450816750099</c:v>
                </c:pt>
                <c:pt idx="152">
                  <c:v>10661.450816750099</c:v>
                </c:pt>
                <c:pt idx="153">
                  <c:v>10661.450816750099</c:v>
                </c:pt>
                <c:pt idx="154">
                  <c:v>10661.450816750099</c:v>
                </c:pt>
                <c:pt idx="155">
                  <c:v>11022.848260301053</c:v>
                </c:pt>
                <c:pt idx="156">
                  <c:v>11022.848260301053</c:v>
                </c:pt>
                <c:pt idx="157">
                  <c:v>11022.848260301053</c:v>
                </c:pt>
                <c:pt idx="158">
                  <c:v>11022.848260301053</c:v>
                </c:pt>
                <c:pt idx="159">
                  <c:v>11022.848260301053</c:v>
                </c:pt>
                <c:pt idx="160">
                  <c:v>11022.848260301053</c:v>
                </c:pt>
                <c:pt idx="161">
                  <c:v>11022.848260301053</c:v>
                </c:pt>
                <c:pt idx="162">
                  <c:v>11022.848260301053</c:v>
                </c:pt>
                <c:pt idx="163">
                  <c:v>11022.848260301053</c:v>
                </c:pt>
                <c:pt idx="164">
                  <c:v>11022.848260301053</c:v>
                </c:pt>
                <c:pt idx="165">
                  <c:v>11022.848260301053</c:v>
                </c:pt>
                <c:pt idx="166">
                  <c:v>11022.848260301053</c:v>
                </c:pt>
                <c:pt idx="167">
                  <c:v>11402.930894222005</c:v>
                </c:pt>
                <c:pt idx="168">
                  <c:v>11402.930894222005</c:v>
                </c:pt>
                <c:pt idx="169">
                  <c:v>11402.930894222005</c:v>
                </c:pt>
                <c:pt idx="170">
                  <c:v>11402.930894222005</c:v>
                </c:pt>
                <c:pt idx="171">
                  <c:v>11402.930894222005</c:v>
                </c:pt>
                <c:pt idx="172">
                  <c:v>11402.930894222005</c:v>
                </c:pt>
                <c:pt idx="173">
                  <c:v>11402.930894222005</c:v>
                </c:pt>
                <c:pt idx="174">
                  <c:v>11402.930894222005</c:v>
                </c:pt>
                <c:pt idx="175">
                  <c:v>11402.930894222005</c:v>
                </c:pt>
                <c:pt idx="176">
                  <c:v>11402.930894222005</c:v>
                </c:pt>
                <c:pt idx="177">
                  <c:v>11402.930894222005</c:v>
                </c:pt>
                <c:pt idx="178">
                  <c:v>11402.930894222005</c:v>
                </c:pt>
                <c:pt idx="179">
                  <c:v>11802.20006614404</c:v>
                </c:pt>
                <c:pt idx="180">
                  <c:v>11802.20006614404</c:v>
                </c:pt>
                <c:pt idx="181">
                  <c:v>11802.20006614404</c:v>
                </c:pt>
                <c:pt idx="182">
                  <c:v>11802.20006614404</c:v>
                </c:pt>
                <c:pt idx="183">
                  <c:v>11802.20006614404</c:v>
                </c:pt>
                <c:pt idx="184">
                  <c:v>11802.20006614404</c:v>
                </c:pt>
                <c:pt idx="185">
                  <c:v>11802.20006614404</c:v>
                </c:pt>
                <c:pt idx="186">
                  <c:v>11802.20006614404</c:v>
                </c:pt>
                <c:pt idx="187">
                  <c:v>11802.20006614404</c:v>
                </c:pt>
                <c:pt idx="188">
                  <c:v>11802.20006614404</c:v>
                </c:pt>
                <c:pt idx="189">
                  <c:v>11802.20006614404</c:v>
                </c:pt>
                <c:pt idx="190">
                  <c:v>11802.20006614404</c:v>
                </c:pt>
                <c:pt idx="191">
                  <c:v>12217.071321263578</c:v>
                </c:pt>
                <c:pt idx="192">
                  <c:v>12217.071321263578</c:v>
                </c:pt>
                <c:pt idx="193">
                  <c:v>12217.071321263578</c:v>
                </c:pt>
                <c:pt idx="194">
                  <c:v>12217.071321263578</c:v>
                </c:pt>
                <c:pt idx="195">
                  <c:v>12217.071321263578</c:v>
                </c:pt>
                <c:pt idx="196">
                  <c:v>12217.071321263578</c:v>
                </c:pt>
                <c:pt idx="197">
                  <c:v>12217.071321263578</c:v>
                </c:pt>
                <c:pt idx="198">
                  <c:v>12217.071321263578</c:v>
                </c:pt>
                <c:pt idx="199">
                  <c:v>12217.071321263578</c:v>
                </c:pt>
                <c:pt idx="200">
                  <c:v>12217.071321263578</c:v>
                </c:pt>
                <c:pt idx="201">
                  <c:v>12217.071321263578</c:v>
                </c:pt>
                <c:pt idx="202">
                  <c:v>12217.071321263578</c:v>
                </c:pt>
                <c:pt idx="203">
                  <c:v>12646.913349655544</c:v>
                </c:pt>
                <c:pt idx="204">
                  <c:v>12646.913349655544</c:v>
                </c:pt>
                <c:pt idx="205">
                  <c:v>12646.913349655544</c:v>
                </c:pt>
                <c:pt idx="206">
                  <c:v>12646.913349655544</c:v>
                </c:pt>
                <c:pt idx="207">
                  <c:v>12646.913349655544</c:v>
                </c:pt>
                <c:pt idx="208">
                  <c:v>12646.913349655544</c:v>
                </c:pt>
                <c:pt idx="209">
                  <c:v>12646.913349655544</c:v>
                </c:pt>
                <c:pt idx="210">
                  <c:v>12646.913349655544</c:v>
                </c:pt>
                <c:pt idx="211">
                  <c:v>12646.913349655544</c:v>
                </c:pt>
                <c:pt idx="212">
                  <c:v>12646.913349655544</c:v>
                </c:pt>
                <c:pt idx="213">
                  <c:v>12646.913349655544</c:v>
                </c:pt>
                <c:pt idx="214">
                  <c:v>12646.913349655544</c:v>
                </c:pt>
                <c:pt idx="215">
                  <c:v>13091.92441511484</c:v>
                </c:pt>
                <c:pt idx="216">
                  <c:v>13091.92441511484</c:v>
                </c:pt>
                <c:pt idx="217">
                  <c:v>13091.92441511484</c:v>
                </c:pt>
                <c:pt idx="218">
                  <c:v>13091.92441511484</c:v>
                </c:pt>
                <c:pt idx="219">
                  <c:v>13091.92441511484</c:v>
                </c:pt>
                <c:pt idx="220">
                  <c:v>13091.92441511484</c:v>
                </c:pt>
                <c:pt idx="221">
                  <c:v>13091.92441511484</c:v>
                </c:pt>
                <c:pt idx="222">
                  <c:v>13091.92441511484</c:v>
                </c:pt>
                <c:pt idx="223">
                  <c:v>13091.92441511484</c:v>
                </c:pt>
                <c:pt idx="224">
                  <c:v>13091.92441511484</c:v>
                </c:pt>
                <c:pt idx="225">
                  <c:v>13091.92441511484</c:v>
                </c:pt>
                <c:pt idx="226">
                  <c:v>13091.92441511484</c:v>
                </c:pt>
                <c:pt idx="227">
                  <c:v>13552.545328044042</c:v>
                </c:pt>
                <c:pt idx="228">
                  <c:v>13552.545328044042</c:v>
                </c:pt>
                <c:pt idx="229">
                  <c:v>13552.545328044042</c:v>
                </c:pt>
                <c:pt idx="230">
                  <c:v>13552.545328044042</c:v>
                </c:pt>
                <c:pt idx="231">
                  <c:v>13552.545328044042</c:v>
                </c:pt>
                <c:pt idx="232">
                  <c:v>13552.545328044042</c:v>
                </c:pt>
                <c:pt idx="233">
                  <c:v>13552.545328044042</c:v>
                </c:pt>
                <c:pt idx="234">
                  <c:v>13552.545328044042</c:v>
                </c:pt>
                <c:pt idx="235">
                  <c:v>13552.545328044042</c:v>
                </c:pt>
                <c:pt idx="236">
                  <c:v>13552.545328044042</c:v>
                </c:pt>
                <c:pt idx="237">
                  <c:v>13552.545328044042</c:v>
                </c:pt>
                <c:pt idx="238">
                  <c:v>13552.545328044042</c:v>
                </c:pt>
                <c:pt idx="239">
                  <c:v>14029.297506050567</c:v>
                </c:pt>
                <c:pt idx="240">
                  <c:v>14029.297506050567</c:v>
                </c:pt>
                <c:pt idx="241">
                  <c:v>14029.297506050567</c:v>
                </c:pt>
                <c:pt idx="242">
                  <c:v>14029.297506050567</c:v>
                </c:pt>
                <c:pt idx="243">
                  <c:v>14029.297506050567</c:v>
                </c:pt>
                <c:pt idx="244">
                  <c:v>14029.297506050567</c:v>
                </c:pt>
                <c:pt idx="245">
                  <c:v>14029.297506050567</c:v>
                </c:pt>
                <c:pt idx="246">
                  <c:v>14029.297506050567</c:v>
                </c:pt>
                <c:pt idx="247">
                  <c:v>14029.297506050567</c:v>
                </c:pt>
                <c:pt idx="248">
                  <c:v>14029.297506050567</c:v>
                </c:pt>
                <c:pt idx="249">
                  <c:v>14029.297506050567</c:v>
                </c:pt>
                <c:pt idx="250">
                  <c:v>14029.297506050567</c:v>
                </c:pt>
                <c:pt idx="251">
                  <c:v>14522.73864754782</c:v>
                </c:pt>
                <c:pt idx="252">
                  <c:v>14522.73864754782</c:v>
                </c:pt>
                <c:pt idx="253">
                  <c:v>14522.73864754782</c:v>
                </c:pt>
                <c:pt idx="254">
                  <c:v>14522.73864754782</c:v>
                </c:pt>
                <c:pt idx="255">
                  <c:v>14522.73864754782</c:v>
                </c:pt>
                <c:pt idx="256">
                  <c:v>14522.73864754782</c:v>
                </c:pt>
                <c:pt idx="257">
                  <c:v>14522.73864754782</c:v>
                </c:pt>
                <c:pt idx="258">
                  <c:v>14522.73864754782</c:v>
                </c:pt>
                <c:pt idx="259">
                  <c:v>14522.73864754782</c:v>
                </c:pt>
                <c:pt idx="260">
                  <c:v>14522.73864754782</c:v>
                </c:pt>
                <c:pt idx="261">
                  <c:v>14522.73864754782</c:v>
                </c:pt>
                <c:pt idx="262">
                  <c:v>14522.73864754782</c:v>
                </c:pt>
                <c:pt idx="263">
                  <c:v>15033.450958573883</c:v>
                </c:pt>
                <c:pt idx="264">
                  <c:v>15033.450958573883</c:v>
                </c:pt>
                <c:pt idx="265">
                  <c:v>15033.450958573883</c:v>
                </c:pt>
                <c:pt idx="266">
                  <c:v>15033.450958573883</c:v>
                </c:pt>
                <c:pt idx="267">
                  <c:v>15033.450958573883</c:v>
                </c:pt>
                <c:pt idx="268">
                  <c:v>15033.450958573883</c:v>
                </c:pt>
                <c:pt idx="269">
                  <c:v>15033.450958573883</c:v>
                </c:pt>
                <c:pt idx="270">
                  <c:v>15033.450958573883</c:v>
                </c:pt>
                <c:pt idx="271">
                  <c:v>15033.450958573883</c:v>
                </c:pt>
                <c:pt idx="272">
                  <c:v>15033.450958573883</c:v>
                </c:pt>
                <c:pt idx="273">
                  <c:v>15033.450958573883</c:v>
                </c:pt>
                <c:pt idx="274">
                  <c:v>15033.450958573883</c:v>
                </c:pt>
                <c:pt idx="275">
                  <c:v>15562.038402317166</c:v>
                </c:pt>
                <c:pt idx="276">
                  <c:v>15562.038402317166</c:v>
                </c:pt>
                <c:pt idx="277">
                  <c:v>15562.038402317166</c:v>
                </c:pt>
                <c:pt idx="278">
                  <c:v>15562.038402317166</c:v>
                </c:pt>
                <c:pt idx="279">
                  <c:v>15562.038402317166</c:v>
                </c:pt>
                <c:pt idx="280">
                  <c:v>15562.038402317166</c:v>
                </c:pt>
                <c:pt idx="281">
                  <c:v>15562.038402317166</c:v>
                </c:pt>
                <c:pt idx="282">
                  <c:v>15562.038402317166</c:v>
                </c:pt>
                <c:pt idx="283">
                  <c:v>15562.038402317166</c:v>
                </c:pt>
                <c:pt idx="284">
                  <c:v>15562.038402317166</c:v>
                </c:pt>
                <c:pt idx="285">
                  <c:v>15562.038402317166</c:v>
                </c:pt>
                <c:pt idx="286">
                  <c:v>15562.038402317166</c:v>
                </c:pt>
                <c:pt idx="287">
                  <c:v>16109.126462426435</c:v>
                </c:pt>
                <c:pt idx="288">
                  <c:v>16109.126462426435</c:v>
                </c:pt>
                <c:pt idx="289">
                  <c:v>16109.126462426435</c:v>
                </c:pt>
                <c:pt idx="290">
                  <c:v>16109.126462426435</c:v>
                </c:pt>
                <c:pt idx="291">
                  <c:v>16109.126462426435</c:v>
                </c:pt>
                <c:pt idx="292">
                  <c:v>16109.126462426435</c:v>
                </c:pt>
                <c:pt idx="293">
                  <c:v>16109.126462426435</c:v>
                </c:pt>
                <c:pt idx="294">
                  <c:v>16109.126462426435</c:v>
                </c:pt>
                <c:pt idx="295">
                  <c:v>16109.126462426435</c:v>
                </c:pt>
                <c:pt idx="296">
                  <c:v>16109.126462426435</c:v>
                </c:pt>
                <c:pt idx="297">
                  <c:v>16109.126462426435</c:v>
                </c:pt>
                <c:pt idx="298">
                  <c:v>16109.126462426435</c:v>
                </c:pt>
                <c:pt idx="299">
                  <c:v>16675.362620085813</c:v>
                </c:pt>
                <c:pt idx="300">
                  <c:v>16675.362620085813</c:v>
                </c:pt>
                <c:pt idx="301">
                  <c:v>16675.362620085813</c:v>
                </c:pt>
                <c:pt idx="302">
                  <c:v>16675.362620085813</c:v>
                </c:pt>
                <c:pt idx="303">
                  <c:v>16675.362620085813</c:v>
                </c:pt>
                <c:pt idx="304">
                  <c:v>16675.362620085813</c:v>
                </c:pt>
                <c:pt idx="305">
                  <c:v>16675.362620085813</c:v>
                </c:pt>
                <c:pt idx="306">
                  <c:v>16675.362620085813</c:v>
                </c:pt>
                <c:pt idx="307">
                  <c:v>16675.362620085813</c:v>
                </c:pt>
                <c:pt idx="308">
                  <c:v>16675.362620085813</c:v>
                </c:pt>
                <c:pt idx="309">
                  <c:v>16675.362620085813</c:v>
                </c:pt>
                <c:pt idx="310">
                  <c:v>16675.362620085813</c:v>
                </c:pt>
                <c:pt idx="311">
                  <c:v>17262.140992996607</c:v>
                </c:pt>
                <c:pt idx="312">
                  <c:v>17262.140992996607</c:v>
                </c:pt>
                <c:pt idx="313">
                  <c:v>17262.140992996607</c:v>
                </c:pt>
                <c:pt idx="314">
                  <c:v>17262.140992996607</c:v>
                </c:pt>
                <c:pt idx="315">
                  <c:v>17262.140992996607</c:v>
                </c:pt>
                <c:pt idx="316">
                  <c:v>17262.140992996607</c:v>
                </c:pt>
                <c:pt idx="317">
                  <c:v>17262.140992996607</c:v>
                </c:pt>
                <c:pt idx="318">
                  <c:v>17262.140992996607</c:v>
                </c:pt>
                <c:pt idx="319">
                  <c:v>17262.140992996607</c:v>
                </c:pt>
                <c:pt idx="320">
                  <c:v>17262.140992996607</c:v>
                </c:pt>
                <c:pt idx="321">
                  <c:v>17262.140992996607</c:v>
                </c:pt>
                <c:pt idx="322">
                  <c:v>17262.140992996607</c:v>
                </c:pt>
                <c:pt idx="323">
                  <c:v>17870.418090897423</c:v>
                </c:pt>
                <c:pt idx="324">
                  <c:v>17870.418090897423</c:v>
                </c:pt>
                <c:pt idx="325">
                  <c:v>17870.418090897423</c:v>
                </c:pt>
                <c:pt idx="326">
                  <c:v>17870.418090897423</c:v>
                </c:pt>
                <c:pt idx="327">
                  <c:v>17870.418090897423</c:v>
                </c:pt>
                <c:pt idx="328">
                  <c:v>17870.418090897423</c:v>
                </c:pt>
                <c:pt idx="329">
                  <c:v>17870.418090897423</c:v>
                </c:pt>
                <c:pt idx="330">
                  <c:v>17870.418090897423</c:v>
                </c:pt>
                <c:pt idx="331">
                  <c:v>17870.418090897423</c:v>
                </c:pt>
                <c:pt idx="332">
                  <c:v>17870.418090897423</c:v>
                </c:pt>
                <c:pt idx="333">
                  <c:v>17870.418090897423</c:v>
                </c:pt>
                <c:pt idx="334">
                  <c:v>17870.418090897423</c:v>
                </c:pt>
                <c:pt idx="335">
                  <c:v>18500.253348344457</c:v>
                </c:pt>
                <c:pt idx="336">
                  <c:v>18500.253348344457</c:v>
                </c:pt>
                <c:pt idx="337">
                  <c:v>18500.253348344457</c:v>
                </c:pt>
                <c:pt idx="338">
                  <c:v>18500.253348344457</c:v>
                </c:pt>
                <c:pt idx="339">
                  <c:v>18500.253348344457</c:v>
                </c:pt>
                <c:pt idx="340">
                  <c:v>18500.253348344457</c:v>
                </c:pt>
                <c:pt idx="341">
                  <c:v>18500.253348344457</c:v>
                </c:pt>
                <c:pt idx="342">
                  <c:v>18500.253348344457</c:v>
                </c:pt>
                <c:pt idx="343">
                  <c:v>18500.253348344457</c:v>
                </c:pt>
                <c:pt idx="344">
                  <c:v>18500.253348344457</c:v>
                </c:pt>
                <c:pt idx="345">
                  <c:v>18500.253348344457</c:v>
                </c:pt>
                <c:pt idx="346">
                  <c:v>18500.253348344457</c:v>
                </c:pt>
                <c:pt idx="347">
                  <c:v>19152.207798436219</c:v>
                </c:pt>
                <c:pt idx="348">
                  <c:v>19152.207798436219</c:v>
                </c:pt>
                <c:pt idx="349">
                  <c:v>19152.207798436219</c:v>
                </c:pt>
                <c:pt idx="350">
                  <c:v>19152.207798436219</c:v>
                </c:pt>
                <c:pt idx="351">
                  <c:v>19152.207798436219</c:v>
                </c:pt>
                <c:pt idx="352">
                  <c:v>19152.207798436219</c:v>
                </c:pt>
                <c:pt idx="353">
                  <c:v>19152.207798436219</c:v>
                </c:pt>
                <c:pt idx="354">
                  <c:v>19152.207798436219</c:v>
                </c:pt>
                <c:pt idx="355">
                  <c:v>19152.207798436219</c:v>
                </c:pt>
                <c:pt idx="356">
                  <c:v>19152.207798436219</c:v>
                </c:pt>
                <c:pt idx="357">
                  <c:v>19152.207798436219</c:v>
                </c:pt>
                <c:pt idx="358">
                  <c:v>19152.207798436219</c:v>
                </c:pt>
                <c:pt idx="359">
                  <c:v>19827.001583929527</c:v>
                </c:pt>
                <c:pt idx="360">
                  <c:v>19827.001583929527</c:v>
                </c:pt>
                <c:pt idx="361">
                  <c:v>19827.001583929527</c:v>
                </c:pt>
                <c:pt idx="362">
                  <c:v>19827.001583929527</c:v>
                </c:pt>
                <c:pt idx="363">
                  <c:v>19827.001583929527</c:v>
                </c:pt>
                <c:pt idx="364">
                  <c:v>19827.001583929527</c:v>
                </c:pt>
                <c:pt idx="365">
                  <c:v>19827.001583929527</c:v>
                </c:pt>
                <c:pt idx="366">
                  <c:v>19827.001583929527</c:v>
                </c:pt>
                <c:pt idx="367">
                  <c:v>19827.001583929527</c:v>
                </c:pt>
                <c:pt idx="368">
                  <c:v>19827.001583929527</c:v>
                </c:pt>
                <c:pt idx="369">
                  <c:v>19827.001583929527</c:v>
                </c:pt>
                <c:pt idx="370">
                  <c:v>19827.001583929527</c:v>
                </c:pt>
                <c:pt idx="371">
                  <c:v>20525.418995807333</c:v>
                </c:pt>
                <c:pt idx="372">
                  <c:v>20525.418995807333</c:v>
                </c:pt>
                <c:pt idx="373">
                  <c:v>20525.418995807333</c:v>
                </c:pt>
                <c:pt idx="374">
                  <c:v>20525.418995807333</c:v>
                </c:pt>
                <c:pt idx="375">
                  <c:v>20525.418995807333</c:v>
                </c:pt>
                <c:pt idx="376">
                  <c:v>20525.418995807333</c:v>
                </c:pt>
                <c:pt idx="377">
                  <c:v>20525.418995807333</c:v>
                </c:pt>
                <c:pt idx="378">
                  <c:v>20525.418995807333</c:v>
                </c:pt>
                <c:pt idx="379">
                  <c:v>20525.418995807333</c:v>
                </c:pt>
                <c:pt idx="380">
                  <c:v>20525.418995807333</c:v>
                </c:pt>
                <c:pt idx="381">
                  <c:v>20525.418995807333</c:v>
                </c:pt>
                <c:pt idx="382">
                  <c:v>20525.418995807333</c:v>
                </c:pt>
                <c:pt idx="383">
                  <c:v>21254.070966862218</c:v>
                </c:pt>
                <c:pt idx="384">
                  <c:v>21254.070966862218</c:v>
                </c:pt>
                <c:pt idx="385">
                  <c:v>21254.070966862218</c:v>
                </c:pt>
                <c:pt idx="386">
                  <c:v>21254.070966862218</c:v>
                </c:pt>
                <c:pt idx="387">
                  <c:v>21254.070966862218</c:v>
                </c:pt>
                <c:pt idx="388">
                  <c:v>21254.070966862218</c:v>
                </c:pt>
                <c:pt idx="389">
                  <c:v>21254.070966862218</c:v>
                </c:pt>
                <c:pt idx="390">
                  <c:v>21254.070966862218</c:v>
                </c:pt>
                <c:pt idx="391">
                  <c:v>21254.070966862218</c:v>
                </c:pt>
                <c:pt idx="392">
                  <c:v>21254.070966862218</c:v>
                </c:pt>
                <c:pt idx="393">
                  <c:v>21254.070966862218</c:v>
                </c:pt>
                <c:pt idx="394">
                  <c:v>21254.070966862218</c:v>
                </c:pt>
                <c:pt idx="395">
                  <c:v>22035.113214044224</c:v>
                </c:pt>
                <c:pt idx="396">
                  <c:v>22035.113214044224</c:v>
                </c:pt>
                <c:pt idx="397">
                  <c:v>22035.113214044224</c:v>
                </c:pt>
                <c:pt idx="398">
                  <c:v>22035.113214044224</c:v>
                </c:pt>
                <c:pt idx="399">
                  <c:v>22035.113214044224</c:v>
                </c:pt>
                <c:pt idx="400">
                  <c:v>22035.113214044224</c:v>
                </c:pt>
                <c:pt idx="401">
                  <c:v>22035.113214044224</c:v>
                </c:pt>
                <c:pt idx="402">
                  <c:v>22035.113214044224</c:v>
                </c:pt>
                <c:pt idx="403">
                  <c:v>22035.113214044224</c:v>
                </c:pt>
                <c:pt idx="404">
                  <c:v>22035.113214044224</c:v>
                </c:pt>
                <c:pt idx="405">
                  <c:v>22035.113214044224</c:v>
                </c:pt>
                <c:pt idx="406">
                  <c:v>22035.113214044224</c:v>
                </c:pt>
                <c:pt idx="407">
                  <c:v>22852.152913536349</c:v>
                </c:pt>
                <c:pt idx="408">
                  <c:v>22852.152913536349</c:v>
                </c:pt>
                <c:pt idx="409">
                  <c:v>22852.152913536349</c:v>
                </c:pt>
                <c:pt idx="410">
                  <c:v>22852.152913536349</c:v>
                </c:pt>
                <c:pt idx="411">
                  <c:v>22852.152913536349</c:v>
                </c:pt>
                <c:pt idx="412">
                  <c:v>22852.152913536349</c:v>
                </c:pt>
                <c:pt idx="413">
                  <c:v>22852.152913536349</c:v>
                </c:pt>
                <c:pt idx="414">
                  <c:v>22852.152913536349</c:v>
                </c:pt>
                <c:pt idx="415">
                  <c:v>22852.152913536349</c:v>
                </c:pt>
                <c:pt idx="416">
                  <c:v>22852.152913536349</c:v>
                </c:pt>
                <c:pt idx="417">
                  <c:v>22852.152913536349</c:v>
                </c:pt>
                <c:pt idx="418">
                  <c:v>22852.152913536349</c:v>
                </c:pt>
                <c:pt idx="419">
                  <c:v>23700.578870824629</c:v>
                </c:pt>
                <c:pt idx="420">
                  <c:v>23700.578870824629</c:v>
                </c:pt>
                <c:pt idx="421">
                  <c:v>23700.578870824629</c:v>
                </c:pt>
                <c:pt idx="422">
                  <c:v>23700.578870824629</c:v>
                </c:pt>
                <c:pt idx="423">
                  <c:v>23700.578870824629</c:v>
                </c:pt>
                <c:pt idx="424">
                  <c:v>23700.578870824629</c:v>
                </c:pt>
                <c:pt idx="425">
                  <c:v>23700.578870824629</c:v>
                </c:pt>
                <c:pt idx="426">
                  <c:v>23700.578870824629</c:v>
                </c:pt>
                <c:pt idx="427">
                  <c:v>23700.578870824629</c:v>
                </c:pt>
                <c:pt idx="428">
                  <c:v>23700.578870824629</c:v>
                </c:pt>
                <c:pt idx="429">
                  <c:v>23700.578870824629</c:v>
                </c:pt>
                <c:pt idx="430">
                  <c:v>23700.578870824629</c:v>
                </c:pt>
                <c:pt idx="431">
                  <c:v>24579.598407542962</c:v>
                </c:pt>
                <c:pt idx="432">
                  <c:v>24579.598407542962</c:v>
                </c:pt>
                <c:pt idx="433">
                  <c:v>24579.598407542962</c:v>
                </c:pt>
                <c:pt idx="434">
                  <c:v>24579.598407542962</c:v>
                </c:pt>
                <c:pt idx="435">
                  <c:v>24579.598407542962</c:v>
                </c:pt>
                <c:pt idx="436">
                  <c:v>24579.598407542962</c:v>
                </c:pt>
                <c:pt idx="437">
                  <c:v>24579.598407542962</c:v>
                </c:pt>
                <c:pt idx="438">
                  <c:v>24579.598407542962</c:v>
                </c:pt>
                <c:pt idx="439">
                  <c:v>24579.598407542962</c:v>
                </c:pt>
                <c:pt idx="440">
                  <c:v>24579.598407542962</c:v>
                </c:pt>
                <c:pt idx="441">
                  <c:v>24579.598407542962</c:v>
                </c:pt>
                <c:pt idx="442">
                  <c:v>24579.598407542962</c:v>
                </c:pt>
                <c:pt idx="443">
                  <c:v>25489.673107455685</c:v>
                </c:pt>
                <c:pt idx="444">
                  <c:v>25489.673107455685</c:v>
                </c:pt>
                <c:pt idx="445">
                  <c:v>25489.673107455685</c:v>
                </c:pt>
                <c:pt idx="446">
                  <c:v>25489.673107455685</c:v>
                </c:pt>
                <c:pt idx="447">
                  <c:v>25489.673107455685</c:v>
                </c:pt>
                <c:pt idx="448">
                  <c:v>25489.673107455685</c:v>
                </c:pt>
                <c:pt idx="449">
                  <c:v>25489.673107455685</c:v>
                </c:pt>
                <c:pt idx="450">
                  <c:v>25489.673107455685</c:v>
                </c:pt>
                <c:pt idx="451">
                  <c:v>25489.673107455685</c:v>
                </c:pt>
                <c:pt idx="452">
                  <c:v>25489.673107455685</c:v>
                </c:pt>
                <c:pt idx="453">
                  <c:v>25489.673107455685</c:v>
                </c:pt>
                <c:pt idx="454">
                  <c:v>25489.673107455685</c:v>
                </c:pt>
                <c:pt idx="455">
                  <c:v>26431.693668821546</c:v>
                </c:pt>
                <c:pt idx="456">
                  <c:v>26431.693668821546</c:v>
                </c:pt>
                <c:pt idx="457">
                  <c:v>26431.693668821546</c:v>
                </c:pt>
                <c:pt idx="458">
                  <c:v>26431.693668821546</c:v>
                </c:pt>
                <c:pt idx="459">
                  <c:v>26431.693668821546</c:v>
                </c:pt>
                <c:pt idx="460">
                  <c:v>26431.693668821546</c:v>
                </c:pt>
                <c:pt idx="461">
                  <c:v>26431.693668821546</c:v>
                </c:pt>
                <c:pt idx="462">
                  <c:v>26431.693668821546</c:v>
                </c:pt>
                <c:pt idx="463">
                  <c:v>26431.693668821546</c:v>
                </c:pt>
                <c:pt idx="464">
                  <c:v>26431.693668821546</c:v>
                </c:pt>
                <c:pt idx="465">
                  <c:v>26431.693668821546</c:v>
                </c:pt>
                <c:pt idx="466">
                  <c:v>26431.693668821546</c:v>
                </c:pt>
                <c:pt idx="467">
                  <c:v>24582.992631892157</c:v>
                </c:pt>
                <c:pt idx="468">
                  <c:v>24582.992631892157</c:v>
                </c:pt>
                <c:pt idx="469">
                  <c:v>24582.992631892157</c:v>
                </c:pt>
                <c:pt idx="470">
                  <c:v>24582.992631892157</c:v>
                </c:pt>
                <c:pt idx="471">
                  <c:v>24582.992631892157</c:v>
                </c:pt>
                <c:pt idx="472">
                  <c:v>24582.992631892157</c:v>
                </c:pt>
                <c:pt idx="473">
                  <c:v>24582.992631892157</c:v>
                </c:pt>
                <c:pt idx="474">
                  <c:v>24582.992631892157</c:v>
                </c:pt>
                <c:pt idx="475">
                  <c:v>24582.992631892157</c:v>
                </c:pt>
                <c:pt idx="476">
                  <c:v>24582.992631892157</c:v>
                </c:pt>
                <c:pt idx="477">
                  <c:v>24582.992631892157</c:v>
                </c:pt>
                <c:pt idx="478">
                  <c:v>24582.992631892157</c:v>
                </c:pt>
                <c:pt idx="479">
                  <c:v>23009.851534529178</c:v>
                </c:pt>
                <c:pt idx="480">
                  <c:v>23009.851534529178</c:v>
                </c:pt>
                <c:pt idx="481">
                  <c:v>23009.851534529178</c:v>
                </c:pt>
                <c:pt idx="482">
                  <c:v>23009.851534529178</c:v>
                </c:pt>
                <c:pt idx="483">
                  <c:v>23009.851534529178</c:v>
                </c:pt>
                <c:pt idx="484">
                  <c:v>23009.851534529178</c:v>
                </c:pt>
                <c:pt idx="485">
                  <c:v>23009.851534529178</c:v>
                </c:pt>
                <c:pt idx="486">
                  <c:v>23009.851534529178</c:v>
                </c:pt>
                <c:pt idx="487">
                  <c:v>23009.851534529178</c:v>
                </c:pt>
                <c:pt idx="488">
                  <c:v>23009.851534529178</c:v>
                </c:pt>
                <c:pt idx="489">
                  <c:v>23009.851534529178</c:v>
                </c:pt>
                <c:pt idx="490">
                  <c:v>23009.851534529178</c:v>
                </c:pt>
                <c:pt idx="491">
                  <c:v>23612.886260585237</c:v>
                </c:pt>
                <c:pt idx="492">
                  <c:v>23612.886260585237</c:v>
                </c:pt>
                <c:pt idx="493">
                  <c:v>23612.886260585237</c:v>
                </c:pt>
                <c:pt idx="494">
                  <c:v>23612.886260585237</c:v>
                </c:pt>
                <c:pt idx="495">
                  <c:v>23612.886260585237</c:v>
                </c:pt>
              </c:numCache>
            </c:numRef>
          </c:val>
        </c:ser>
        <c:dLbls>
          <c:showLegendKey val="0"/>
          <c:showVal val="0"/>
          <c:showCatName val="0"/>
          <c:showSerName val="0"/>
          <c:showPercent val="0"/>
          <c:showBubbleSize val="0"/>
        </c:dLbls>
        <c:axId val="177296512"/>
        <c:axId val="177298432"/>
      </c:areaChart>
      <c:catAx>
        <c:axId val="177296512"/>
        <c:scaling>
          <c:orientation val="minMax"/>
        </c:scaling>
        <c:delete val="0"/>
        <c:axPos val="b"/>
        <c:title>
          <c:tx>
            <c:rich>
              <a:bodyPr/>
              <a:lstStyle/>
              <a:p>
                <a:pPr>
                  <a:defRPr/>
                </a:pPr>
                <a:r>
                  <a:rPr lang="en-US"/>
                  <a:t>AGE</a:t>
                </a:r>
              </a:p>
            </c:rich>
          </c:tx>
          <c:layout/>
          <c:overlay val="0"/>
        </c:title>
        <c:numFmt formatCode="General" sourceLinked="1"/>
        <c:majorTickMark val="out"/>
        <c:minorTickMark val="none"/>
        <c:tickLblPos val="nextTo"/>
        <c:crossAx val="177298432"/>
        <c:crosses val="autoZero"/>
        <c:auto val="1"/>
        <c:lblAlgn val="ctr"/>
        <c:lblOffset val="100"/>
        <c:noMultiLvlLbl val="0"/>
      </c:catAx>
      <c:valAx>
        <c:axId val="177298432"/>
        <c:scaling>
          <c:orientation val="minMax"/>
        </c:scaling>
        <c:delete val="0"/>
        <c:axPos val="l"/>
        <c:majorGridlines/>
        <c:numFmt formatCode="&quot;$&quot;#,##0" sourceLinked="1"/>
        <c:majorTickMark val="out"/>
        <c:minorTickMark val="none"/>
        <c:tickLblPos val="nextTo"/>
        <c:crossAx val="177296512"/>
        <c:crosses val="autoZero"/>
        <c:crossBetween val="midCat"/>
      </c:valAx>
    </c:plotArea>
    <c:plotVisOnly val="1"/>
    <c:dispBlanksAs val="zero"/>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v>Effective Tax Rate</c:v>
          </c:tx>
          <c:marker>
            <c:symbol val="none"/>
          </c:marker>
          <c:cat>
            <c:numRef>
              <c:f>'Projected Retirement Drawdown'!$B$10:$B$505</c:f>
              <c:numCache>
                <c:formatCode>0.0</c:formatCode>
                <c:ptCount val="496"/>
                <c:pt idx="0" formatCode="General">
                  <c:v>56.3</c:v>
                </c:pt>
                <c:pt idx="1">
                  <c:v>56.4</c:v>
                </c:pt>
                <c:pt idx="2">
                  <c:v>56.5</c:v>
                </c:pt>
                <c:pt idx="3">
                  <c:v>56.5</c:v>
                </c:pt>
                <c:pt idx="4">
                  <c:v>56.6</c:v>
                </c:pt>
                <c:pt idx="5">
                  <c:v>56.7</c:v>
                </c:pt>
                <c:pt idx="6">
                  <c:v>56.8</c:v>
                </c:pt>
                <c:pt idx="7">
                  <c:v>56.9</c:v>
                </c:pt>
                <c:pt idx="8">
                  <c:v>57</c:v>
                </c:pt>
                <c:pt idx="9">
                  <c:v>57</c:v>
                </c:pt>
                <c:pt idx="10">
                  <c:v>57.1</c:v>
                </c:pt>
                <c:pt idx="11">
                  <c:v>57.2</c:v>
                </c:pt>
                <c:pt idx="12">
                  <c:v>57.3</c:v>
                </c:pt>
                <c:pt idx="13">
                  <c:v>57.4</c:v>
                </c:pt>
                <c:pt idx="14">
                  <c:v>57.5</c:v>
                </c:pt>
                <c:pt idx="15">
                  <c:v>57.5</c:v>
                </c:pt>
                <c:pt idx="16">
                  <c:v>57.6</c:v>
                </c:pt>
                <c:pt idx="17">
                  <c:v>57.7</c:v>
                </c:pt>
                <c:pt idx="18">
                  <c:v>57.8</c:v>
                </c:pt>
                <c:pt idx="19">
                  <c:v>57.9</c:v>
                </c:pt>
                <c:pt idx="20">
                  <c:v>58</c:v>
                </c:pt>
                <c:pt idx="21">
                  <c:v>58</c:v>
                </c:pt>
                <c:pt idx="22">
                  <c:v>58.1</c:v>
                </c:pt>
                <c:pt idx="23">
                  <c:v>58.2</c:v>
                </c:pt>
                <c:pt idx="24">
                  <c:v>58.3</c:v>
                </c:pt>
                <c:pt idx="25">
                  <c:v>58.4</c:v>
                </c:pt>
                <c:pt idx="26">
                  <c:v>58.5</c:v>
                </c:pt>
                <c:pt idx="27">
                  <c:v>58.5</c:v>
                </c:pt>
                <c:pt idx="28">
                  <c:v>58.6</c:v>
                </c:pt>
                <c:pt idx="29">
                  <c:v>58.7</c:v>
                </c:pt>
                <c:pt idx="30">
                  <c:v>58.8</c:v>
                </c:pt>
                <c:pt idx="31">
                  <c:v>58.9</c:v>
                </c:pt>
                <c:pt idx="32">
                  <c:v>59</c:v>
                </c:pt>
                <c:pt idx="33">
                  <c:v>59</c:v>
                </c:pt>
                <c:pt idx="34">
                  <c:v>59.1</c:v>
                </c:pt>
                <c:pt idx="35">
                  <c:v>59.2</c:v>
                </c:pt>
                <c:pt idx="36">
                  <c:v>59.3</c:v>
                </c:pt>
                <c:pt idx="37">
                  <c:v>59.4</c:v>
                </c:pt>
                <c:pt idx="38">
                  <c:v>59.5</c:v>
                </c:pt>
                <c:pt idx="39">
                  <c:v>59.5</c:v>
                </c:pt>
                <c:pt idx="40">
                  <c:v>59.6</c:v>
                </c:pt>
                <c:pt idx="41">
                  <c:v>59.7</c:v>
                </c:pt>
                <c:pt idx="42">
                  <c:v>59.8</c:v>
                </c:pt>
                <c:pt idx="43">
                  <c:v>59.9</c:v>
                </c:pt>
                <c:pt idx="44">
                  <c:v>60</c:v>
                </c:pt>
                <c:pt idx="45">
                  <c:v>60</c:v>
                </c:pt>
                <c:pt idx="46">
                  <c:v>60.1</c:v>
                </c:pt>
                <c:pt idx="47">
                  <c:v>60.2</c:v>
                </c:pt>
                <c:pt idx="48">
                  <c:v>60.3</c:v>
                </c:pt>
                <c:pt idx="49">
                  <c:v>60.4</c:v>
                </c:pt>
                <c:pt idx="50">
                  <c:v>60.5</c:v>
                </c:pt>
                <c:pt idx="51">
                  <c:v>60.5</c:v>
                </c:pt>
                <c:pt idx="52">
                  <c:v>60.6</c:v>
                </c:pt>
                <c:pt idx="53">
                  <c:v>60.7</c:v>
                </c:pt>
                <c:pt idx="54">
                  <c:v>60.8</c:v>
                </c:pt>
                <c:pt idx="55">
                  <c:v>60.9</c:v>
                </c:pt>
                <c:pt idx="56">
                  <c:v>61</c:v>
                </c:pt>
                <c:pt idx="57">
                  <c:v>61</c:v>
                </c:pt>
                <c:pt idx="58">
                  <c:v>61.1</c:v>
                </c:pt>
                <c:pt idx="59">
                  <c:v>61.2</c:v>
                </c:pt>
                <c:pt idx="60">
                  <c:v>61.3</c:v>
                </c:pt>
                <c:pt idx="61">
                  <c:v>61.4</c:v>
                </c:pt>
                <c:pt idx="62">
                  <c:v>61.5</c:v>
                </c:pt>
                <c:pt idx="63">
                  <c:v>61.5</c:v>
                </c:pt>
                <c:pt idx="64">
                  <c:v>61.6</c:v>
                </c:pt>
                <c:pt idx="65">
                  <c:v>61.7</c:v>
                </c:pt>
                <c:pt idx="66">
                  <c:v>61.8</c:v>
                </c:pt>
                <c:pt idx="67">
                  <c:v>61.9</c:v>
                </c:pt>
                <c:pt idx="68">
                  <c:v>62</c:v>
                </c:pt>
                <c:pt idx="69">
                  <c:v>62</c:v>
                </c:pt>
                <c:pt idx="70">
                  <c:v>62.1</c:v>
                </c:pt>
                <c:pt idx="71">
                  <c:v>62.2</c:v>
                </c:pt>
                <c:pt idx="72">
                  <c:v>62.3</c:v>
                </c:pt>
                <c:pt idx="73">
                  <c:v>62.4</c:v>
                </c:pt>
                <c:pt idx="74">
                  <c:v>62.5</c:v>
                </c:pt>
                <c:pt idx="75">
                  <c:v>62.5</c:v>
                </c:pt>
                <c:pt idx="76">
                  <c:v>62.6</c:v>
                </c:pt>
                <c:pt idx="77">
                  <c:v>62.7</c:v>
                </c:pt>
                <c:pt idx="78">
                  <c:v>62.8</c:v>
                </c:pt>
                <c:pt idx="79">
                  <c:v>62.9</c:v>
                </c:pt>
                <c:pt idx="80">
                  <c:v>63</c:v>
                </c:pt>
                <c:pt idx="81">
                  <c:v>63</c:v>
                </c:pt>
                <c:pt idx="82">
                  <c:v>63.1</c:v>
                </c:pt>
                <c:pt idx="83">
                  <c:v>63.2</c:v>
                </c:pt>
                <c:pt idx="84">
                  <c:v>63.3</c:v>
                </c:pt>
                <c:pt idx="85">
                  <c:v>63.4</c:v>
                </c:pt>
                <c:pt idx="86">
                  <c:v>63.5</c:v>
                </c:pt>
                <c:pt idx="87">
                  <c:v>63.5</c:v>
                </c:pt>
                <c:pt idx="88">
                  <c:v>63.6</c:v>
                </c:pt>
                <c:pt idx="89">
                  <c:v>63.7</c:v>
                </c:pt>
                <c:pt idx="90">
                  <c:v>63.8</c:v>
                </c:pt>
                <c:pt idx="91">
                  <c:v>63.9</c:v>
                </c:pt>
                <c:pt idx="92">
                  <c:v>64</c:v>
                </c:pt>
                <c:pt idx="93">
                  <c:v>64</c:v>
                </c:pt>
                <c:pt idx="94">
                  <c:v>64.099999999999994</c:v>
                </c:pt>
                <c:pt idx="95">
                  <c:v>64.2</c:v>
                </c:pt>
                <c:pt idx="96">
                  <c:v>64.3</c:v>
                </c:pt>
                <c:pt idx="97">
                  <c:v>64.400000000000006</c:v>
                </c:pt>
                <c:pt idx="98">
                  <c:v>64.5</c:v>
                </c:pt>
                <c:pt idx="99">
                  <c:v>64.5</c:v>
                </c:pt>
                <c:pt idx="100">
                  <c:v>64.599999999999994</c:v>
                </c:pt>
                <c:pt idx="101">
                  <c:v>64.7</c:v>
                </c:pt>
                <c:pt idx="102">
                  <c:v>64.8</c:v>
                </c:pt>
                <c:pt idx="103">
                  <c:v>64.900000000000006</c:v>
                </c:pt>
                <c:pt idx="104">
                  <c:v>65</c:v>
                </c:pt>
                <c:pt idx="105">
                  <c:v>65</c:v>
                </c:pt>
                <c:pt idx="106">
                  <c:v>65.099999999999994</c:v>
                </c:pt>
                <c:pt idx="107">
                  <c:v>65.2</c:v>
                </c:pt>
                <c:pt idx="108">
                  <c:v>65.3</c:v>
                </c:pt>
                <c:pt idx="109">
                  <c:v>65.400000000000006</c:v>
                </c:pt>
                <c:pt idx="110">
                  <c:v>65.5</c:v>
                </c:pt>
                <c:pt idx="111">
                  <c:v>65.5</c:v>
                </c:pt>
                <c:pt idx="112">
                  <c:v>65.599999999999994</c:v>
                </c:pt>
                <c:pt idx="113">
                  <c:v>65.7</c:v>
                </c:pt>
                <c:pt idx="114">
                  <c:v>65.8</c:v>
                </c:pt>
                <c:pt idx="115">
                  <c:v>65.900000000000006</c:v>
                </c:pt>
                <c:pt idx="116">
                  <c:v>66</c:v>
                </c:pt>
                <c:pt idx="117">
                  <c:v>66</c:v>
                </c:pt>
                <c:pt idx="118">
                  <c:v>66.099999999999994</c:v>
                </c:pt>
                <c:pt idx="119">
                  <c:v>66.2</c:v>
                </c:pt>
                <c:pt idx="120">
                  <c:v>66.3</c:v>
                </c:pt>
                <c:pt idx="121">
                  <c:v>66.400000000000006</c:v>
                </c:pt>
                <c:pt idx="122">
                  <c:v>66.5</c:v>
                </c:pt>
                <c:pt idx="123">
                  <c:v>66.5</c:v>
                </c:pt>
                <c:pt idx="124">
                  <c:v>66.599999999999994</c:v>
                </c:pt>
                <c:pt idx="125">
                  <c:v>66.7</c:v>
                </c:pt>
                <c:pt idx="126">
                  <c:v>66.8</c:v>
                </c:pt>
                <c:pt idx="127">
                  <c:v>66.900000000000006</c:v>
                </c:pt>
                <c:pt idx="128">
                  <c:v>67</c:v>
                </c:pt>
                <c:pt idx="129">
                  <c:v>67</c:v>
                </c:pt>
                <c:pt idx="130">
                  <c:v>67.099999999999994</c:v>
                </c:pt>
                <c:pt idx="131">
                  <c:v>67.2</c:v>
                </c:pt>
                <c:pt idx="132">
                  <c:v>67.3</c:v>
                </c:pt>
                <c:pt idx="133">
                  <c:v>67.400000000000006</c:v>
                </c:pt>
                <c:pt idx="134">
                  <c:v>67.5</c:v>
                </c:pt>
                <c:pt idx="135">
                  <c:v>67.5</c:v>
                </c:pt>
                <c:pt idx="136">
                  <c:v>67.599999999999994</c:v>
                </c:pt>
                <c:pt idx="137">
                  <c:v>67.7</c:v>
                </c:pt>
                <c:pt idx="138">
                  <c:v>67.8</c:v>
                </c:pt>
                <c:pt idx="139">
                  <c:v>67.900000000000006</c:v>
                </c:pt>
                <c:pt idx="140">
                  <c:v>68</c:v>
                </c:pt>
                <c:pt idx="141">
                  <c:v>68</c:v>
                </c:pt>
                <c:pt idx="142">
                  <c:v>68.099999999999994</c:v>
                </c:pt>
                <c:pt idx="143">
                  <c:v>68.2</c:v>
                </c:pt>
                <c:pt idx="144">
                  <c:v>68.3</c:v>
                </c:pt>
                <c:pt idx="145">
                  <c:v>68.400000000000006</c:v>
                </c:pt>
                <c:pt idx="146">
                  <c:v>68.5</c:v>
                </c:pt>
                <c:pt idx="147">
                  <c:v>68.5</c:v>
                </c:pt>
                <c:pt idx="148">
                  <c:v>68.599999999999994</c:v>
                </c:pt>
                <c:pt idx="149">
                  <c:v>68.7</c:v>
                </c:pt>
                <c:pt idx="150">
                  <c:v>68.8</c:v>
                </c:pt>
                <c:pt idx="151">
                  <c:v>68.900000000000006</c:v>
                </c:pt>
                <c:pt idx="152">
                  <c:v>69</c:v>
                </c:pt>
                <c:pt idx="153">
                  <c:v>69</c:v>
                </c:pt>
                <c:pt idx="154">
                  <c:v>69.099999999999994</c:v>
                </c:pt>
                <c:pt idx="155">
                  <c:v>69.2</c:v>
                </c:pt>
                <c:pt idx="156">
                  <c:v>69.3</c:v>
                </c:pt>
                <c:pt idx="157">
                  <c:v>69.400000000000006</c:v>
                </c:pt>
                <c:pt idx="158">
                  <c:v>69.5</c:v>
                </c:pt>
                <c:pt idx="159">
                  <c:v>69.5</c:v>
                </c:pt>
                <c:pt idx="160">
                  <c:v>69.599999999999994</c:v>
                </c:pt>
                <c:pt idx="161">
                  <c:v>69.7</c:v>
                </c:pt>
                <c:pt idx="162">
                  <c:v>69.8</c:v>
                </c:pt>
                <c:pt idx="163">
                  <c:v>69.900000000000006</c:v>
                </c:pt>
                <c:pt idx="164">
                  <c:v>70</c:v>
                </c:pt>
                <c:pt idx="165">
                  <c:v>70</c:v>
                </c:pt>
                <c:pt idx="166">
                  <c:v>70.099999999999994</c:v>
                </c:pt>
                <c:pt idx="167">
                  <c:v>70.2</c:v>
                </c:pt>
                <c:pt idx="168">
                  <c:v>70.3</c:v>
                </c:pt>
                <c:pt idx="169">
                  <c:v>70.400000000000006</c:v>
                </c:pt>
                <c:pt idx="170">
                  <c:v>70.5</c:v>
                </c:pt>
                <c:pt idx="171">
                  <c:v>70.5</c:v>
                </c:pt>
                <c:pt idx="172">
                  <c:v>70.599999999999994</c:v>
                </c:pt>
                <c:pt idx="173">
                  <c:v>70.7</c:v>
                </c:pt>
                <c:pt idx="174">
                  <c:v>70.8</c:v>
                </c:pt>
                <c:pt idx="175">
                  <c:v>70.900000000000006</c:v>
                </c:pt>
                <c:pt idx="176">
                  <c:v>71</c:v>
                </c:pt>
                <c:pt idx="177">
                  <c:v>71</c:v>
                </c:pt>
                <c:pt idx="178">
                  <c:v>71.099999999999994</c:v>
                </c:pt>
                <c:pt idx="179">
                  <c:v>71.2</c:v>
                </c:pt>
                <c:pt idx="180">
                  <c:v>71.3</c:v>
                </c:pt>
                <c:pt idx="181">
                  <c:v>71.400000000000006</c:v>
                </c:pt>
                <c:pt idx="182">
                  <c:v>71.5</c:v>
                </c:pt>
                <c:pt idx="183">
                  <c:v>71.5</c:v>
                </c:pt>
                <c:pt idx="184">
                  <c:v>71.599999999999994</c:v>
                </c:pt>
                <c:pt idx="185">
                  <c:v>71.7</c:v>
                </c:pt>
                <c:pt idx="186">
                  <c:v>71.8</c:v>
                </c:pt>
                <c:pt idx="187">
                  <c:v>71.900000000000006</c:v>
                </c:pt>
                <c:pt idx="188">
                  <c:v>72</c:v>
                </c:pt>
                <c:pt idx="189">
                  <c:v>72</c:v>
                </c:pt>
                <c:pt idx="190">
                  <c:v>72.099999999999994</c:v>
                </c:pt>
                <c:pt idx="191">
                  <c:v>72.2</c:v>
                </c:pt>
                <c:pt idx="192">
                  <c:v>72.3</c:v>
                </c:pt>
                <c:pt idx="193">
                  <c:v>72.400000000000006</c:v>
                </c:pt>
                <c:pt idx="194">
                  <c:v>72.5</c:v>
                </c:pt>
                <c:pt idx="195">
                  <c:v>72.5</c:v>
                </c:pt>
                <c:pt idx="196">
                  <c:v>72.599999999999994</c:v>
                </c:pt>
                <c:pt idx="197">
                  <c:v>72.7</c:v>
                </c:pt>
                <c:pt idx="198">
                  <c:v>72.8</c:v>
                </c:pt>
                <c:pt idx="199">
                  <c:v>72.900000000000006</c:v>
                </c:pt>
                <c:pt idx="200">
                  <c:v>73</c:v>
                </c:pt>
                <c:pt idx="201">
                  <c:v>73</c:v>
                </c:pt>
                <c:pt idx="202">
                  <c:v>73.099999999999994</c:v>
                </c:pt>
                <c:pt idx="203">
                  <c:v>73.2</c:v>
                </c:pt>
                <c:pt idx="204">
                  <c:v>73.3</c:v>
                </c:pt>
                <c:pt idx="205">
                  <c:v>73.400000000000006</c:v>
                </c:pt>
                <c:pt idx="206">
                  <c:v>73.5</c:v>
                </c:pt>
                <c:pt idx="207">
                  <c:v>73.5</c:v>
                </c:pt>
                <c:pt idx="208">
                  <c:v>73.599999999999994</c:v>
                </c:pt>
                <c:pt idx="209">
                  <c:v>73.7</c:v>
                </c:pt>
                <c:pt idx="210">
                  <c:v>73.8</c:v>
                </c:pt>
                <c:pt idx="211">
                  <c:v>73.900000000000006</c:v>
                </c:pt>
                <c:pt idx="212">
                  <c:v>74</c:v>
                </c:pt>
                <c:pt idx="213">
                  <c:v>74</c:v>
                </c:pt>
                <c:pt idx="214">
                  <c:v>74.099999999999994</c:v>
                </c:pt>
                <c:pt idx="215">
                  <c:v>74.2</c:v>
                </c:pt>
                <c:pt idx="216">
                  <c:v>74.3</c:v>
                </c:pt>
                <c:pt idx="217">
                  <c:v>74.400000000000006</c:v>
                </c:pt>
                <c:pt idx="218">
                  <c:v>74.5</c:v>
                </c:pt>
                <c:pt idx="219">
                  <c:v>74.5</c:v>
                </c:pt>
                <c:pt idx="220">
                  <c:v>74.599999999999994</c:v>
                </c:pt>
                <c:pt idx="221">
                  <c:v>74.7</c:v>
                </c:pt>
                <c:pt idx="222">
                  <c:v>74.8</c:v>
                </c:pt>
                <c:pt idx="223">
                  <c:v>74.900000000000006</c:v>
                </c:pt>
                <c:pt idx="224">
                  <c:v>75</c:v>
                </c:pt>
                <c:pt idx="225">
                  <c:v>75</c:v>
                </c:pt>
                <c:pt idx="226">
                  <c:v>75.099999999999994</c:v>
                </c:pt>
                <c:pt idx="227">
                  <c:v>75.2</c:v>
                </c:pt>
                <c:pt idx="228">
                  <c:v>75.3</c:v>
                </c:pt>
                <c:pt idx="229">
                  <c:v>75.400000000000006</c:v>
                </c:pt>
                <c:pt idx="230">
                  <c:v>75.5</c:v>
                </c:pt>
                <c:pt idx="231">
                  <c:v>75.5</c:v>
                </c:pt>
                <c:pt idx="232">
                  <c:v>75.599999999999994</c:v>
                </c:pt>
                <c:pt idx="233">
                  <c:v>75.7</c:v>
                </c:pt>
                <c:pt idx="234">
                  <c:v>75.8</c:v>
                </c:pt>
                <c:pt idx="235">
                  <c:v>75.900000000000006</c:v>
                </c:pt>
                <c:pt idx="236">
                  <c:v>76</c:v>
                </c:pt>
                <c:pt idx="237">
                  <c:v>76</c:v>
                </c:pt>
                <c:pt idx="238">
                  <c:v>76.099999999999994</c:v>
                </c:pt>
                <c:pt idx="239">
                  <c:v>76.2</c:v>
                </c:pt>
                <c:pt idx="240">
                  <c:v>76.3</c:v>
                </c:pt>
                <c:pt idx="241">
                  <c:v>76.400000000000006</c:v>
                </c:pt>
                <c:pt idx="242">
                  <c:v>76.5</c:v>
                </c:pt>
                <c:pt idx="243">
                  <c:v>76.5</c:v>
                </c:pt>
                <c:pt idx="244">
                  <c:v>76.599999999999994</c:v>
                </c:pt>
                <c:pt idx="245">
                  <c:v>76.7</c:v>
                </c:pt>
                <c:pt idx="246">
                  <c:v>76.8</c:v>
                </c:pt>
                <c:pt idx="247">
                  <c:v>76.900000000000006</c:v>
                </c:pt>
                <c:pt idx="248">
                  <c:v>77</c:v>
                </c:pt>
                <c:pt idx="249">
                  <c:v>77</c:v>
                </c:pt>
                <c:pt idx="250">
                  <c:v>77.099999999999994</c:v>
                </c:pt>
                <c:pt idx="251">
                  <c:v>77.2</c:v>
                </c:pt>
                <c:pt idx="252">
                  <c:v>77.3</c:v>
                </c:pt>
                <c:pt idx="253">
                  <c:v>77.400000000000006</c:v>
                </c:pt>
                <c:pt idx="254">
                  <c:v>77.5</c:v>
                </c:pt>
                <c:pt idx="255">
                  <c:v>77.5</c:v>
                </c:pt>
                <c:pt idx="256">
                  <c:v>77.599999999999994</c:v>
                </c:pt>
                <c:pt idx="257">
                  <c:v>77.7</c:v>
                </c:pt>
                <c:pt idx="258">
                  <c:v>77.8</c:v>
                </c:pt>
                <c:pt idx="259">
                  <c:v>77.900000000000006</c:v>
                </c:pt>
                <c:pt idx="260">
                  <c:v>78</c:v>
                </c:pt>
                <c:pt idx="261">
                  <c:v>78</c:v>
                </c:pt>
                <c:pt idx="262">
                  <c:v>78.099999999999994</c:v>
                </c:pt>
                <c:pt idx="263">
                  <c:v>78.2</c:v>
                </c:pt>
                <c:pt idx="264">
                  <c:v>78.3</c:v>
                </c:pt>
                <c:pt idx="265">
                  <c:v>78.400000000000006</c:v>
                </c:pt>
                <c:pt idx="266">
                  <c:v>78.5</c:v>
                </c:pt>
                <c:pt idx="267">
                  <c:v>78.5</c:v>
                </c:pt>
                <c:pt idx="268">
                  <c:v>78.599999999999994</c:v>
                </c:pt>
                <c:pt idx="269">
                  <c:v>78.7</c:v>
                </c:pt>
                <c:pt idx="270">
                  <c:v>78.8</c:v>
                </c:pt>
                <c:pt idx="271">
                  <c:v>78.900000000000006</c:v>
                </c:pt>
                <c:pt idx="272">
                  <c:v>79</c:v>
                </c:pt>
                <c:pt idx="273">
                  <c:v>79</c:v>
                </c:pt>
                <c:pt idx="274">
                  <c:v>79.099999999999994</c:v>
                </c:pt>
                <c:pt idx="275">
                  <c:v>79.2</c:v>
                </c:pt>
                <c:pt idx="276">
                  <c:v>79.3</c:v>
                </c:pt>
                <c:pt idx="277">
                  <c:v>79.400000000000006</c:v>
                </c:pt>
                <c:pt idx="278">
                  <c:v>79.5</c:v>
                </c:pt>
                <c:pt idx="279">
                  <c:v>79.5</c:v>
                </c:pt>
                <c:pt idx="280">
                  <c:v>79.599999999999994</c:v>
                </c:pt>
                <c:pt idx="281">
                  <c:v>79.7</c:v>
                </c:pt>
                <c:pt idx="282">
                  <c:v>79.8</c:v>
                </c:pt>
                <c:pt idx="283">
                  <c:v>79.900000000000006</c:v>
                </c:pt>
                <c:pt idx="284">
                  <c:v>80</c:v>
                </c:pt>
                <c:pt idx="285">
                  <c:v>80</c:v>
                </c:pt>
                <c:pt idx="286">
                  <c:v>80.099999999999994</c:v>
                </c:pt>
                <c:pt idx="287">
                  <c:v>80.2</c:v>
                </c:pt>
                <c:pt idx="288">
                  <c:v>80.3</c:v>
                </c:pt>
                <c:pt idx="289">
                  <c:v>80.400000000000006</c:v>
                </c:pt>
                <c:pt idx="290">
                  <c:v>80.5</c:v>
                </c:pt>
                <c:pt idx="291">
                  <c:v>80.5</c:v>
                </c:pt>
                <c:pt idx="292">
                  <c:v>80.599999999999994</c:v>
                </c:pt>
                <c:pt idx="293">
                  <c:v>80.7</c:v>
                </c:pt>
                <c:pt idx="294">
                  <c:v>80.8</c:v>
                </c:pt>
                <c:pt idx="295">
                  <c:v>80.900000000000006</c:v>
                </c:pt>
                <c:pt idx="296">
                  <c:v>81</c:v>
                </c:pt>
                <c:pt idx="297">
                  <c:v>81</c:v>
                </c:pt>
                <c:pt idx="298">
                  <c:v>81.099999999999994</c:v>
                </c:pt>
                <c:pt idx="299">
                  <c:v>81.2</c:v>
                </c:pt>
                <c:pt idx="300">
                  <c:v>81.3</c:v>
                </c:pt>
                <c:pt idx="301">
                  <c:v>81.400000000000006</c:v>
                </c:pt>
                <c:pt idx="302">
                  <c:v>81.5</c:v>
                </c:pt>
                <c:pt idx="303">
                  <c:v>81.5</c:v>
                </c:pt>
                <c:pt idx="304">
                  <c:v>81.599999999999994</c:v>
                </c:pt>
                <c:pt idx="305">
                  <c:v>81.7</c:v>
                </c:pt>
                <c:pt idx="306">
                  <c:v>81.8</c:v>
                </c:pt>
                <c:pt idx="307">
                  <c:v>81.900000000000006</c:v>
                </c:pt>
                <c:pt idx="308">
                  <c:v>82</c:v>
                </c:pt>
                <c:pt idx="309">
                  <c:v>82</c:v>
                </c:pt>
                <c:pt idx="310">
                  <c:v>82.1</c:v>
                </c:pt>
                <c:pt idx="311">
                  <c:v>82.2</c:v>
                </c:pt>
                <c:pt idx="312">
                  <c:v>82.3</c:v>
                </c:pt>
                <c:pt idx="313">
                  <c:v>82.4</c:v>
                </c:pt>
                <c:pt idx="314">
                  <c:v>82.5</c:v>
                </c:pt>
                <c:pt idx="315">
                  <c:v>82.5</c:v>
                </c:pt>
                <c:pt idx="316">
                  <c:v>82.6</c:v>
                </c:pt>
                <c:pt idx="317">
                  <c:v>82.7</c:v>
                </c:pt>
                <c:pt idx="318">
                  <c:v>82.8</c:v>
                </c:pt>
                <c:pt idx="319">
                  <c:v>82.9</c:v>
                </c:pt>
                <c:pt idx="320">
                  <c:v>83</c:v>
                </c:pt>
                <c:pt idx="321">
                  <c:v>83</c:v>
                </c:pt>
                <c:pt idx="322">
                  <c:v>83.1</c:v>
                </c:pt>
                <c:pt idx="323">
                  <c:v>83.2</c:v>
                </c:pt>
                <c:pt idx="324">
                  <c:v>83.3</c:v>
                </c:pt>
                <c:pt idx="325">
                  <c:v>83.4</c:v>
                </c:pt>
                <c:pt idx="326">
                  <c:v>83.5</c:v>
                </c:pt>
                <c:pt idx="327">
                  <c:v>83.5</c:v>
                </c:pt>
                <c:pt idx="328">
                  <c:v>83.6</c:v>
                </c:pt>
                <c:pt idx="329">
                  <c:v>83.7</c:v>
                </c:pt>
                <c:pt idx="330">
                  <c:v>83.8</c:v>
                </c:pt>
                <c:pt idx="331">
                  <c:v>83.9</c:v>
                </c:pt>
                <c:pt idx="332">
                  <c:v>84</c:v>
                </c:pt>
                <c:pt idx="333">
                  <c:v>84</c:v>
                </c:pt>
                <c:pt idx="334">
                  <c:v>84.1</c:v>
                </c:pt>
                <c:pt idx="335">
                  <c:v>84.2</c:v>
                </c:pt>
                <c:pt idx="336">
                  <c:v>84.3</c:v>
                </c:pt>
                <c:pt idx="337">
                  <c:v>84.4</c:v>
                </c:pt>
                <c:pt idx="338">
                  <c:v>84.5</c:v>
                </c:pt>
                <c:pt idx="339">
                  <c:v>84.5</c:v>
                </c:pt>
                <c:pt idx="340">
                  <c:v>84.6</c:v>
                </c:pt>
                <c:pt idx="341">
                  <c:v>84.7</c:v>
                </c:pt>
                <c:pt idx="342">
                  <c:v>84.8</c:v>
                </c:pt>
                <c:pt idx="343">
                  <c:v>84.9</c:v>
                </c:pt>
                <c:pt idx="344">
                  <c:v>85</c:v>
                </c:pt>
                <c:pt idx="345">
                  <c:v>85</c:v>
                </c:pt>
                <c:pt idx="346">
                  <c:v>85.1</c:v>
                </c:pt>
                <c:pt idx="347">
                  <c:v>85.2</c:v>
                </c:pt>
                <c:pt idx="348">
                  <c:v>85.3</c:v>
                </c:pt>
                <c:pt idx="349">
                  <c:v>85.4</c:v>
                </c:pt>
                <c:pt idx="350">
                  <c:v>85.5</c:v>
                </c:pt>
                <c:pt idx="351">
                  <c:v>85.5</c:v>
                </c:pt>
                <c:pt idx="352">
                  <c:v>85.6</c:v>
                </c:pt>
                <c:pt idx="353">
                  <c:v>85.7</c:v>
                </c:pt>
                <c:pt idx="354">
                  <c:v>85.8</c:v>
                </c:pt>
                <c:pt idx="355">
                  <c:v>85.9</c:v>
                </c:pt>
                <c:pt idx="356">
                  <c:v>86</c:v>
                </c:pt>
                <c:pt idx="357">
                  <c:v>86</c:v>
                </c:pt>
                <c:pt idx="358">
                  <c:v>86.1</c:v>
                </c:pt>
                <c:pt idx="359">
                  <c:v>86.2</c:v>
                </c:pt>
                <c:pt idx="360">
                  <c:v>86.3</c:v>
                </c:pt>
                <c:pt idx="361">
                  <c:v>86.4</c:v>
                </c:pt>
                <c:pt idx="362">
                  <c:v>86.5</c:v>
                </c:pt>
                <c:pt idx="363">
                  <c:v>86.5</c:v>
                </c:pt>
                <c:pt idx="364">
                  <c:v>86.6</c:v>
                </c:pt>
                <c:pt idx="365">
                  <c:v>86.7</c:v>
                </c:pt>
                <c:pt idx="366">
                  <c:v>86.8</c:v>
                </c:pt>
                <c:pt idx="367">
                  <c:v>86.9</c:v>
                </c:pt>
                <c:pt idx="368">
                  <c:v>87</c:v>
                </c:pt>
                <c:pt idx="369">
                  <c:v>87</c:v>
                </c:pt>
                <c:pt idx="370">
                  <c:v>87.1</c:v>
                </c:pt>
                <c:pt idx="371">
                  <c:v>87.2</c:v>
                </c:pt>
                <c:pt idx="372">
                  <c:v>87.3</c:v>
                </c:pt>
                <c:pt idx="373">
                  <c:v>87.4</c:v>
                </c:pt>
                <c:pt idx="374">
                  <c:v>87.5</c:v>
                </c:pt>
                <c:pt idx="375">
                  <c:v>87.5</c:v>
                </c:pt>
                <c:pt idx="376">
                  <c:v>87.6</c:v>
                </c:pt>
                <c:pt idx="377">
                  <c:v>87.7</c:v>
                </c:pt>
                <c:pt idx="378">
                  <c:v>87.8</c:v>
                </c:pt>
                <c:pt idx="379">
                  <c:v>87.9</c:v>
                </c:pt>
                <c:pt idx="380">
                  <c:v>88</c:v>
                </c:pt>
                <c:pt idx="381">
                  <c:v>88</c:v>
                </c:pt>
                <c:pt idx="382">
                  <c:v>88.1</c:v>
                </c:pt>
                <c:pt idx="383">
                  <c:v>88.2</c:v>
                </c:pt>
                <c:pt idx="384">
                  <c:v>88.3</c:v>
                </c:pt>
                <c:pt idx="385">
                  <c:v>88.4</c:v>
                </c:pt>
                <c:pt idx="386">
                  <c:v>88.5</c:v>
                </c:pt>
                <c:pt idx="387">
                  <c:v>88.5</c:v>
                </c:pt>
                <c:pt idx="388">
                  <c:v>88.6</c:v>
                </c:pt>
                <c:pt idx="389">
                  <c:v>88.7</c:v>
                </c:pt>
                <c:pt idx="390">
                  <c:v>88.8</c:v>
                </c:pt>
                <c:pt idx="391">
                  <c:v>88.9</c:v>
                </c:pt>
                <c:pt idx="392">
                  <c:v>89</c:v>
                </c:pt>
                <c:pt idx="393">
                  <c:v>89</c:v>
                </c:pt>
                <c:pt idx="394">
                  <c:v>89.1</c:v>
                </c:pt>
                <c:pt idx="395">
                  <c:v>89.2</c:v>
                </c:pt>
                <c:pt idx="396">
                  <c:v>89.3</c:v>
                </c:pt>
                <c:pt idx="397">
                  <c:v>89.4</c:v>
                </c:pt>
                <c:pt idx="398">
                  <c:v>89.5</c:v>
                </c:pt>
                <c:pt idx="399">
                  <c:v>89.5</c:v>
                </c:pt>
                <c:pt idx="400">
                  <c:v>89.6</c:v>
                </c:pt>
                <c:pt idx="401">
                  <c:v>89.7</c:v>
                </c:pt>
                <c:pt idx="402">
                  <c:v>89.8</c:v>
                </c:pt>
                <c:pt idx="403">
                  <c:v>89.9</c:v>
                </c:pt>
                <c:pt idx="404">
                  <c:v>90</c:v>
                </c:pt>
                <c:pt idx="405">
                  <c:v>90</c:v>
                </c:pt>
                <c:pt idx="406">
                  <c:v>90.1</c:v>
                </c:pt>
                <c:pt idx="407">
                  <c:v>90.2</c:v>
                </c:pt>
                <c:pt idx="408">
                  <c:v>90.3</c:v>
                </c:pt>
                <c:pt idx="409">
                  <c:v>90.4</c:v>
                </c:pt>
                <c:pt idx="410">
                  <c:v>90.5</c:v>
                </c:pt>
                <c:pt idx="411">
                  <c:v>90.5</c:v>
                </c:pt>
                <c:pt idx="412">
                  <c:v>90.6</c:v>
                </c:pt>
                <c:pt idx="413">
                  <c:v>90.7</c:v>
                </c:pt>
                <c:pt idx="414">
                  <c:v>90.8</c:v>
                </c:pt>
                <c:pt idx="415">
                  <c:v>90.9</c:v>
                </c:pt>
                <c:pt idx="416">
                  <c:v>91</c:v>
                </c:pt>
                <c:pt idx="417">
                  <c:v>91</c:v>
                </c:pt>
                <c:pt idx="418">
                  <c:v>91.1</c:v>
                </c:pt>
                <c:pt idx="419">
                  <c:v>91.2</c:v>
                </c:pt>
                <c:pt idx="420">
                  <c:v>91.3</c:v>
                </c:pt>
                <c:pt idx="421">
                  <c:v>91.4</c:v>
                </c:pt>
                <c:pt idx="422">
                  <c:v>91.5</c:v>
                </c:pt>
                <c:pt idx="423">
                  <c:v>91.5</c:v>
                </c:pt>
                <c:pt idx="424">
                  <c:v>91.6</c:v>
                </c:pt>
                <c:pt idx="425">
                  <c:v>91.7</c:v>
                </c:pt>
                <c:pt idx="426">
                  <c:v>91.8</c:v>
                </c:pt>
                <c:pt idx="427">
                  <c:v>91.9</c:v>
                </c:pt>
                <c:pt idx="428">
                  <c:v>92</c:v>
                </c:pt>
                <c:pt idx="429">
                  <c:v>92</c:v>
                </c:pt>
                <c:pt idx="430">
                  <c:v>92.1</c:v>
                </c:pt>
                <c:pt idx="431">
                  <c:v>92.2</c:v>
                </c:pt>
                <c:pt idx="432">
                  <c:v>92.3</c:v>
                </c:pt>
                <c:pt idx="433">
                  <c:v>92.4</c:v>
                </c:pt>
                <c:pt idx="434">
                  <c:v>92.5</c:v>
                </c:pt>
                <c:pt idx="435">
                  <c:v>92.5</c:v>
                </c:pt>
                <c:pt idx="436">
                  <c:v>92.6</c:v>
                </c:pt>
                <c:pt idx="437">
                  <c:v>92.7</c:v>
                </c:pt>
                <c:pt idx="438">
                  <c:v>92.8</c:v>
                </c:pt>
                <c:pt idx="439">
                  <c:v>92.9</c:v>
                </c:pt>
                <c:pt idx="440">
                  <c:v>93</c:v>
                </c:pt>
                <c:pt idx="441">
                  <c:v>93</c:v>
                </c:pt>
                <c:pt idx="442">
                  <c:v>93.1</c:v>
                </c:pt>
                <c:pt idx="443">
                  <c:v>93.2</c:v>
                </c:pt>
                <c:pt idx="444">
                  <c:v>93.3</c:v>
                </c:pt>
                <c:pt idx="445">
                  <c:v>93.4</c:v>
                </c:pt>
                <c:pt idx="446">
                  <c:v>93.5</c:v>
                </c:pt>
                <c:pt idx="447">
                  <c:v>93.5</c:v>
                </c:pt>
                <c:pt idx="448">
                  <c:v>93.6</c:v>
                </c:pt>
                <c:pt idx="449">
                  <c:v>93.7</c:v>
                </c:pt>
                <c:pt idx="450">
                  <c:v>93.8</c:v>
                </c:pt>
                <c:pt idx="451">
                  <c:v>93.9</c:v>
                </c:pt>
                <c:pt idx="452">
                  <c:v>94</c:v>
                </c:pt>
                <c:pt idx="453">
                  <c:v>94</c:v>
                </c:pt>
                <c:pt idx="454">
                  <c:v>94.1</c:v>
                </c:pt>
                <c:pt idx="455">
                  <c:v>94.2</c:v>
                </c:pt>
                <c:pt idx="456">
                  <c:v>94.3</c:v>
                </c:pt>
                <c:pt idx="457">
                  <c:v>94.4</c:v>
                </c:pt>
                <c:pt idx="458">
                  <c:v>94.5</c:v>
                </c:pt>
                <c:pt idx="459">
                  <c:v>94.5</c:v>
                </c:pt>
                <c:pt idx="460">
                  <c:v>94.6</c:v>
                </c:pt>
                <c:pt idx="461">
                  <c:v>94.7</c:v>
                </c:pt>
                <c:pt idx="462">
                  <c:v>94.8</c:v>
                </c:pt>
                <c:pt idx="463">
                  <c:v>94.9</c:v>
                </c:pt>
                <c:pt idx="464">
                  <c:v>95</c:v>
                </c:pt>
                <c:pt idx="465">
                  <c:v>95</c:v>
                </c:pt>
                <c:pt idx="466">
                  <c:v>95.1</c:v>
                </c:pt>
                <c:pt idx="467">
                  <c:v>95.2</c:v>
                </c:pt>
                <c:pt idx="468">
                  <c:v>95.3</c:v>
                </c:pt>
                <c:pt idx="469">
                  <c:v>95.4</c:v>
                </c:pt>
                <c:pt idx="470">
                  <c:v>95.5</c:v>
                </c:pt>
                <c:pt idx="471">
                  <c:v>95.5</c:v>
                </c:pt>
                <c:pt idx="472">
                  <c:v>95.6</c:v>
                </c:pt>
                <c:pt idx="473">
                  <c:v>95.7</c:v>
                </c:pt>
                <c:pt idx="474">
                  <c:v>95.8</c:v>
                </c:pt>
                <c:pt idx="475">
                  <c:v>95.9</c:v>
                </c:pt>
                <c:pt idx="476">
                  <c:v>96</c:v>
                </c:pt>
                <c:pt idx="477">
                  <c:v>96</c:v>
                </c:pt>
                <c:pt idx="478">
                  <c:v>96.1</c:v>
                </c:pt>
                <c:pt idx="479">
                  <c:v>96.2</c:v>
                </c:pt>
                <c:pt idx="480">
                  <c:v>96.3</c:v>
                </c:pt>
                <c:pt idx="481">
                  <c:v>96.4</c:v>
                </c:pt>
                <c:pt idx="482">
                  <c:v>96.5</c:v>
                </c:pt>
                <c:pt idx="483">
                  <c:v>96.5</c:v>
                </c:pt>
                <c:pt idx="484">
                  <c:v>96.6</c:v>
                </c:pt>
                <c:pt idx="485">
                  <c:v>96.7</c:v>
                </c:pt>
                <c:pt idx="486">
                  <c:v>96.8</c:v>
                </c:pt>
                <c:pt idx="487">
                  <c:v>96.9</c:v>
                </c:pt>
                <c:pt idx="488">
                  <c:v>97</c:v>
                </c:pt>
                <c:pt idx="489">
                  <c:v>97</c:v>
                </c:pt>
                <c:pt idx="490">
                  <c:v>97.1</c:v>
                </c:pt>
                <c:pt idx="491">
                  <c:v>97.2</c:v>
                </c:pt>
                <c:pt idx="492">
                  <c:v>97.3</c:v>
                </c:pt>
                <c:pt idx="493">
                  <c:v>97.4</c:v>
                </c:pt>
                <c:pt idx="494">
                  <c:v>97.5</c:v>
                </c:pt>
                <c:pt idx="495">
                  <c:v>97.5</c:v>
                </c:pt>
              </c:numCache>
            </c:numRef>
          </c:cat>
          <c:val>
            <c:numRef>
              <c:f>'Projected Retirement Drawdown'!$AB$10:$AB$505</c:f>
              <c:numCache>
                <c:formatCode>0.00%</c:formatCode>
                <c:ptCount val="496"/>
                <c:pt idx="0">
                  <c:v>0.1762438741486291</c:v>
                </c:pt>
                <c:pt idx="1">
                  <c:v>0.1762438741486291</c:v>
                </c:pt>
                <c:pt idx="2">
                  <c:v>0.1762438741486291</c:v>
                </c:pt>
                <c:pt idx="3">
                  <c:v>0.1762438741486291</c:v>
                </c:pt>
                <c:pt idx="4">
                  <c:v>0.1762438741486291</c:v>
                </c:pt>
                <c:pt idx="5">
                  <c:v>0.1762438741486291</c:v>
                </c:pt>
                <c:pt idx="6">
                  <c:v>0.1762438741486291</c:v>
                </c:pt>
                <c:pt idx="7">
                  <c:v>0.1762438741486291</c:v>
                </c:pt>
                <c:pt idx="8">
                  <c:v>0.1762438741486291</c:v>
                </c:pt>
                <c:pt idx="9">
                  <c:v>0.1762438741486291</c:v>
                </c:pt>
                <c:pt idx="10">
                  <c:v>0.1762438741486291</c:v>
                </c:pt>
                <c:pt idx="11">
                  <c:v>0.17115925228932574</c:v>
                </c:pt>
                <c:pt idx="12">
                  <c:v>0.17115925228932574</c:v>
                </c:pt>
                <c:pt idx="13">
                  <c:v>0.17115925228932574</c:v>
                </c:pt>
                <c:pt idx="14">
                  <c:v>0.17115925228932574</c:v>
                </c:pt>
                <c:pt idx="15">
                  <c:v>0.17115925228932574</c:v>
                </c:pt>
                <c:pt idx="16">
                  <c:v>0.17115925228932574</c:v>
                </c:pt>
                <c:pt idx="17">
                  <c:v>0.17115925228932574</c:v>
                </c:pt>
                <c:pt idx="18">
                  <c:v>0.17115925228932574</c:v>
                </c:pt>
                <c:pt idx="19">
                  <c:v>0.17115925228932574</c:v>
                </c:pt>
                <c:pt idx="20">
                  <c:v>0.17115925228932574</c:v>
                </c:pt>
                <c:pt idx="21">
                  <c:v>0.17115925228932574</c:v>
                </c:pt>
                <c:pt idx="22">
                  <c:v>0.17115925228932574</c:v>
                </c:pt>
                <c:pt idx="23">
                  <c:v>0.17390429087475556</c:v>
                </c:pt>
                <c:pt idx="24">
                  <c:v>0.17390429087475556</c:v>
                </c:pt>
                <c:pt idx="25">
                  <c:v>0.17390429087475556</c:v>
                </c:pt>
                <c:pt idx="26">
                  <c:v>0.17390429087475556</c:v>
                </c:pt>
                <c:pt idx="27">
                  <c:v>0.17390429087475556</c:v>
                </c:pt>
                <c:pt idx="28">
                  <c:v>0.17390429087475556</c:v>
                </c:pt>
                <c:pt idx="29">
                  <c:v>0.17390429087475556</c:v>
                </c:pt>
                <c:pt idx="30">
                  <c:v>0.17390429087475556</c:v>
                </c:pt>
                <c:pt idx="31">
                  <c:v>0.17390429087475556</c:v>
                </c:pt>
                <c:pt idx="32">
                  <c:v>0.17390429087475556</c:v>
                </c:pt>
                <c:pt idx="33">
                  <c:v>0.17390429087475556</c:v>
                </c:pt>
                <c:pt idx="34">
                  <c:v>0.17390429087475556</c:v>
                </c:pt>
                <c:pt idx="35">
                  <c:v>0.17760250409520181</c:v>
                </c:pt>
                <c:pt idx="36">
                  <c:v>0.17760250409520181</c:v>
                </c:pt>
                <c:pt idx="37">
                  <c:v>0.17760250409520181</c:v>
                </c:pt>
                <c:pt idx="38">
                  <c:v>0.17760250409520181</c:v>
                </c:pt>
                <c:pt idx="39">
                  <c:v>0.17760250409520181</c:v>
                </c:pt>
                <c:pt idx="40">
                  <c:v>0.17760250409520181</c:v>
                </c:pt>
                <c:pt idx="41">
                  <c:v>0.17760250409520181</c:v>
                </c:pt>
                <c:pt idx="42">
                  <c:v>0.17760250409520181</c:v>
                </c:pt>
                <c:pt idx="43">
                  <c:v>0.17760250409520181</c:v>
                </c:pt>
                <c:pt idx="44">
                  <c:v>0.17760250409520181</c:v>
                </c:pt>
                <c:pt idx="45">
                  <c:v>0.17760250409520181</c:v>
                </c:pt>
                <c:pt idx="46">
                  <c:v>0.17760250409520181</c:v>
                </c:pt>
                <c:pt idx="47">
                  <c:v>0.18178067643231507</c:v>
                </c:pt>
                <c:pt idx="48">
                  <c:v>0.18178067643231507</c:v>
                </c:pt>
                <c:pt idx="49">
                  <c:v>0.18178067643231507</c:v>
                </c:pt>
                <c:pt idx="50">
                  <c:v>0.18178067643231507</c:v>
                </c:pt>
                <c:pt idx="51">
                  <c:v>0.18178067643231507</c:v>
                </c:pt>
                <c:pt idx="52">
                  <c:v>0.18178067643231507</c:v>
                </c:pt>
                <c:pt idx="53">
                  <c:v>0.18178067643231507</c:v>
                </c:pt>
                <c:pt idx="54">
                  <c:v>0.18178067643231507</c:v>
                </c:pt>
                <c:pt idx="55">
                  <c:v>0.18178067643231507</c:v>
                </c:pt>
                <c:pt idx="56">
                  <c:v>0.18178067643231507</c:v>
                </c:pt>
                <c:pt idx="57">
                  <c:v>0.18178067643231507</c:v>
                </c:pt>
                <c:pt idx="58">
                  <c:v>0.18178067643231507</c:v>
                </c:pt>
                <c:pt idx="59">
                  <c:v>0.18593207814953319</c:v>
                </c:pt>
                <c:pt idx="60">
                  <c:v>0.18593207814953319</c:v>
                </c:pt>
                <c:pt idx="61">
                  <c:v>0.18593207814953319</c:v>
                </c:pt>
                <c:pt idx="62">
                  <c:v>0.18593207814953319</c:v>
                </c:pt>
                <c:pt idx="63">
                  <c:v>0.18593207814953319</c:v>
                </c:pt>
                <c:pt idx="64">
                  <c:v>0.18593207814953319</c:v>
                </c:pt>
                <c:pt idx="65">
                  <c:v>0.18593207814953319</c:v>
                </c:pt>
                <c:pt idx="66">
                  <c:v>0.18593207814953319</c:v>
                </c:pt>
                <c:pt idx="67">
                  <c:v>0.18593207814953319</c:v>
                </c:pt>
                <c:pt idx="68">
                  <c:v>0.18593207814953319</c:v>
                </c:pt>
                <c:pt idx="69">
                  <c:v>0.18593207814953319</c:v>
                </c:pt>
                <c:pt idx="70">
                  <c:v>0.18593207814953319</c:v>
                </c:pt>
                <c:pt idx="71">
                  <c:v>0.19203695641619659</c:v>
                </c:pt>
                <c:pt idx="72">
                  <c:v>0.19203695641619659</c:v>
                </c:pt>
                <c:pt idx="73">
                  <c:v>0.19203695641619659</c:v>
                </c:pt>
                <c:pt idx="74">
                  <c:v>0.19203695641619659</c:v>
                </c:pt>
                <c:pt idx="75">
                  <c:v>0.19203695641619659</c:v>
                </c:pt>
                <c:pt idx="76">
                  <c:v>0.19203695641619659</c:v>
                </c:pt>
                <c:pt idx="77">
                  <c:v>0.19203695641619659</c:v>
                </c:pt>
                <c:pt idx="78">
                  <c:v>0.19203695641619659</c:v>
                </c:pt>
                <c:pt idx="79">
                  <c:v>0.19203695641619659</c:v>
                </c:pt>
                <c:pt idx="80">
                  <c:v>0.19203695641619659</c:v>
                </c:pt>
                <c:pt idx="81">
                  <c:v>0.19203695641619659</c:v>
                </c:pt>
                <c:pt idx="82">
                  <c:v>0.19203695641619659</c:v>
                </c:pt>
                <c:pt idx="83">
                  <c:v>0.19953142145484654</c:v>
                </c:pt>
                <c:pt idx="84">
                  <c:v>0.19953142145484654</c:v>
                </c:pt>
                <c:pt idx="85">
                  <c:v>0.19953142145484654</c:v>
                </c:pt>
                <c:pt idx="86">
                  <c:v>0.19953142145484654</c:v>
                </c:pt>
                <c:pt idx="87">
                  <c:v>0.19953142145484654</c:v>
                </c:pt>
                <c:pt idx="88">
                  <c:v>0.19953142145484654</c:v>
                </c:pt>
                <c:pt idx="89">
                  <c:v>0.19953142145484654</c:v>
                </c:pt>
                <c:pt idx="90">
                  <c:v>0.19953142145484654</c:v>
                </c:pt>
                <c:pt idx="91">
                  <c:v>0.19953142145484654</c:v>
                </c:pt>
                <c:pt idx="92">
                  <c:v>0.19953142145484654</c:v>
                </c:pt>
                <c:pt idx="93">
                  <c:v>0.19953142145484654</c:v>
                </c:pt>
                <c:pt idx="94">
                  <c:v>0.19953142145484654</c:v>
                </c:pt>
                <c:pt idx="95">
                  <c:v>0.20366044524596694</c:v>
                </c:pt>
                <c:pt idx="96">
                  <c:v>0.20366044524596694</c:v>
                </c:pt>
                <c:pt idx="97">
                  <c:v>0.20366044524596694</c:v>
                </c:pt>
                <c:pt idx="98">
                  <c:v>0.20366044524596694</c:v>
                </c:pt>
                <c:pt idx="99">
                  <c:v>0.20366044524596694</c:v>
                </c:pt>
                <c:pt idx="100">
                  <c:v>0.20366044524596694</c:v>
                </c:pt>
                <c:pt idx="101">
                  <c:v>0.20366044524596694</c:v>
                </c:pt>
                <c:pt idx="102">
                  <c:v>0.20366044524596694</c:v>
                </c:pt>
                <c:pt idx="103">
                  <c:v>0.20366044524596694</c:v>
                </c:pt>
                <c:pt idx="104">
                  <c:v>0.20366044524596694</c:v>
                </c:pt>
                <c:pt idx="105">
                  <c:v>0.20366044524596694</c:v>
                </c:pt>
                <c:pt idx="106">
                  <c:v>0.20366044524596694</c:v>
                </c:pt>
                <c:pt idx="107">
                  <c:v>0.206160704528911</c:v>
                </c:pt>
                <c:pt idx="108">
                  <c:v>0.206160704528911</c:v>
                </c:pt>
                <c:pt idx="109">
                  <c:v>0.206160704528911</c:v>
                </c:pt>
                <c:pt idx="110">
                  <c:v>0.206160704528911</c:v>
                </c:pt>
                <c:pt idx="111">
                  <c:v>0.206160704528911</c:v>
                </c:pt>
                <c:pt idx="112">
                  <c:v>0.206160704528911</c:v>
                </c:pt>
                <c:pt idx="113">
                  <c:v>0.206160704528911</c:v>
                </c:pt>
                <c:pt idx="114">
                  <c:v>0.206160704528911</c:v>
                </c:pt>
                <c:pt idx="115">
                  <c:v>0.206160704528911</c:v>
                </c:pt>
                <c:pt idx="116">
                  <c:v>0.206160704528911</c:v>
                </c:pt>
                <c:pt idx="117">
                  <c:v>0.206160704528911</c:v>
                </c:pt>
                <c:pt idx="118">
                  <c:v>0.206160704528911</c:v>
                </c:pt>
                <c:pt idx="119">
                  <c:v>0.20672446920371657</c:v>
                </c:pt>
                <c:pt idx="120">
                  <c:v>0.20672446920371657</c:v>
                </c:pt>
                <c:pt idx="121">
                  <c:v>0.20672446920371657</c:v>
                </c:pt>
                <c:pt idx="122">
                  <c:v>0.20672446920371657</c:v>
                </c:pt>
                <c:pt idx="123">
                  <c:v>0.20672446920371657</c:v>
                </c:pt>
                <c:pt idx="124">
                  <c:v>0.20672446920371657</c:v>
                </c:pt>
                <c:pt idx="125">
                  <c:v>0.20672446920371657</c:v>
                </c:pt>
                <c:pt idx="126">
                  <c:v>0.20672446920371657</c:v>
                </c:pt>
                <c:pt idx="127">
                  <c:v>0.20672446920371657</c:v>
                </c:pt>
                <c:pt idx="128">
                  <c:v>0.20672446920371657</c:v>
                </c:pt>
                <c:pt idx="129">
                  <c:v>0.20672446920371657</c:v>
                </c:pt>
                <c:pt idx="130">
                  <c:v>0.20672446920371657</c:v>
                </c:pt>
                <c:pt idx="131">
                  <c:v>0.20922546178602885</c:v>
                </c:pt>
                <c:pt idx="132">
                  <c:v>0.20922546178602885</c:v>
                </c:pt>
                <c:pt idx="133">
                  <c:v>0.20922546178602885</c:v>
                </c:pt>
                <c:pt idx="134">
                  <c:v>0.20922546178602885</c:v>
                </c:pt>
                <c:pt idx="135">
                  <c:v>0.20922546178602885</c:v>
                </c:pt>
                <c:pt idx="136">
                  <c:v>0.20922546178602885</c:v>
                </c:pt>
                <c:pt idx="137">
                  <c:v>0.20922546178602885</c:v>
                </c:pt>
                <c:pt idx="138">
                  <c:v>0.20922546178602885</c:v>
                </c:pt>
                <c:pt idx="139">
                  <c:v>0.20922546178602885</c:v>
                </c:pt>
                <c:pt idx="140">
                  <c:v>0.20922546178602885</c:v>
                </c:pt>
                <c:pt idx="141">
                  <c:v>0.20922546178602885</c:v>
                </c:pt>
                <c:pt idx="142">
                  <c:v>0.20922546178602885</c:v>
                </c:pt>
                <c:pt idx="143">
                  <c:v>0.21210711203132804</c:v>
                </c:pt>
                <c:pt idx="144">
                  <c:v>0.21210711203132804</c:v>
                </c:pt>
                <c:pt idx="145">
                  <c:v>0.21210711203132804</c:v>
                </c:pt>
                <c:pt idx="146">
                  <c:v>0.21210711203132804</c:v>
                </c:pt>
                <c:pt idx="147">
                  <c:v>0.21210711203132804</c:v>
                </c:pt>
                <c:pt idx="148">
                  <c:v>0.21210711203132804</c:v>
                </c:pt>
                <c:pt idx="149">
                  <c:v>0.21210711203132804</c:v>
                </c:pt>
                <c:pt idx="150">
                  <c:v>0.21210711203132804</c:v>
                </c:pt>
                <c:pt idx="151">
                  <c:v>0.21210711203132804</c:v>
                </c:pt>
                <c:pt idx="152">
                  <c:v>0.21210711203132804</c:v>
                </c:pt>
                <c:pt idx="153">
                  <c:v>0.21210711203132804</c:v>
                </c:pt>
                <c:pt idx="154">
                  <c:v>0.21210711203132804</c:v>
                </c:pt>
                <c:pt idx="155">
                  <c:v>0.21498935901221933</c:v>
                </c:pt>
                <c:pt idx="156">
                  <c:v>0.21498935901221933</c:v>
                </c:pt>
                <c:pt idx="157">
                  <c:v>0.21498935901221933</c:v>
                </c:pt>
                <c:pt idx="158">
                  <c:v>0.21498935901221933</c:v>
                </c:pt>
                <c:pt idx="159">
                  <c:v>0.21498935901221933</c:v>
                </c:pt>
                <c:pt idx="160">
                  <c:v>0.21498935901221933</c:v>
                </c:pt>
                <c:pt idx="161">
                  <c:v>0.21498935901221933</c:v>
                </c:pt>
                <c:pt idx="162">
                  <c:v>0.21498935901221933</c:v>
                </c:pt>
                <c:pt idx="163">
                  <c:v>0.21498935901221933</c:v>
                </c:pt>
                <c:pt idx="164">
                  <c:v>0.21498935901221933</c:v>
                </c:pt>
                <c:pt idx="165">
                  <c:v>0.21498935901221933</c:v>
                </c:pt>
                <c:pt idx="166">
                  <c:v>0.21498935901221933</c:v>
                </c:pt>
                <c:pt idx="167">
                  <c:v>0.21839587904551777</c:v>
                </c:pt>
                <c:pt idx="168">
                  <c:v>0.21839587904551777</c:v>
                </c:pt>
                <c:pt idx="169">
                  <c:v>0.21839587904551777</c:v>
                </c:pt>
                <c:pt idx="170">
                  <c:v>0.21839587904551777</c:v>
                </c:pt>
                <c:pt idx="171">
                  <c:v>0.21839587904551777</c:v>
                </c:pt>
                <c:pt idx="172">
                  <c:v>0.21839587904551777</c:v>
                </c:pt>
                <c:pt idx="173">
                  <c:v>0.21839587904551777</c:v>
                </c:pt>
                <c:pt idx="174">
                  <c:v>0.21839587904551777</c:v>
                </c:pt>
                <c:pt idx="175">
                  <c:v>0.21839587904551777</c:v>
                </c:pt>
                <c:pt idx="176">
                  <c:v>0.21839587904551777</c:v>
                </c:pt>
                <c:pt idx="177">
                  <c:v>0.21839587904551777</c:v>
                </c:pt>
                <c:pt idx="178">
                  <c:v>0.21839587904551777</c:v>
                </c:pt>
                <c:pt idx="179">
                  <c:v>0.22220328206813775</c:v>
                </c:pt>
                <c:pt idx="180">
                  <c:v>0.22220328206813775</c:v>
                </c:pt>
                <c:pt idx="181">
                  <c:v>0.22220328206813775</c:v>
                </c:pt>
                <c:pt idx="182">
                  <c:v>0.22220328206813775</c:v>
                </c:pt>
                <c:pt idx="183">
                  <c:v>0.22220328206813775</c:v>
                </c:pt>
                <c:pt idx="184">
                  <c:v>0.22220328206813775</c:v>
                </c:pt>
                <c:pt idx="185">
                  <c:v>0.22220328206813775</c:v>
                </c:pt>
                <c:pt idx="186">
                  <c:v>0.22220328206813775</c:v>
                </c:pt>
                <c:pt idx="187">
                  <c:v>0.22220328206813775</c:v>
                </c:pt>
                <c:pt idx="188">
                  <c:v>0.22220328206813775</c:v>
                </c:pt>
                <c:pt idx="189">
                  <c:v>0.22220328206813775</c:v>
                </c:pt>
                <c:pt idx="190">
                  <c:v>0.22220328206813775</c:v>
                </c:pt>
                <c:pt idx="191">
                  <c:v>0.22591377303475318</c:v>
                </c:pt>
                <c:pt idx="192">
                  <c:v>0.22591377303475318</c:v>
                </c:pt>
                <c:pt idx="193">
                  <c:v>0.22591377303475318</c:v>
                </c:pt>
                <c:pt idx="194">
                  <c:v>0.22591377303475318</c:v>
                </c:pt>
                <c:pt idx="195">
                  <c:v>0.22591377303475318</c:v>
                </c:pt>
                <c:pt idx="196">
                  <c:v>0.22591377303475318</c:v>
                </c:pt>
                <c:pt idx="197">
                  <c:v>0.22591377303475318</c:v>
                </c:pt>
                <c:pt idx="198">
                  <c:v>0.22591377303475318</c:v>
                </c:pt>
                <c:pt idx="199">
                  <c:v>0.22591377303475318</c:v>
                </c:pt>
                <c:pt idx="200">
                  <c:v>0.22591377303475318</c:v>
                </c:pt>
                <c:pt idx="201">
                  <c:v>0.22591377303475318</c:v>
                </c:pt>
                <c:pt idx="202">
                  <c:v>0.22591377303475318</c:v>
                </c:pt>
                <c:pt idx="203">
                  <c:v>0.229488912532501</c:v>
                </c:pt>
                <c:pt idx="204">
                  <c:v>0.229488912532501</c:v>
                </c:pt>
                <c:pt idx="205">
                  <c:v>0.229488912532501</c:v>
                </c:pt>
                <c:pt idx="206">
                  <c:v>0.229488912532501</c:v>
                </c:pt>
                <c:pt idx="207">
                  <c:v>0.229488912532501</c:v>
                </c:pt>
                <c:pt idx="208">
                  <c:v>0.229488912532501</c:v>
                </c:pt>
                <c:pt idx="209">
                  <c:v>0.229488912532501</c:v>
                </c:pt>
                <c:pt idx="210">
                  <c:v>0.229488912532501</c:v>
                </c:pt>
                <c:pt idx="211">
                  <c:v>0.229488912532501</c:v>
                </c:pt>
                <c:pt idx="212">
                  <c:v>0.229488912532501</c:v>
                </c:pt>
                <c:pt idx="213">
                  <c:v>0.229488912532501</c:v>
                </c:pt>
                <c:pt idx="214">
                  <c:v>0.229488912532501</c:v>
                </c:pt>
                <c:pt idx="215">
                  <c:v>0.23292393876501638</c:v>
                </c:pt>
                <c:pt idx="216">
                  <c:v>0.23292393876501638</c:v>
                </c:pt>
                <c:pt idx="217">
                  <c:v>0.23292393876501638</c:v>
                </c:pt>
                <c:pt idx="218">
                  <c:v>0.23292393876501638</c:v>
                </c:pt>
                <c:pt idx="219">
                  <c:v>0.23292393876501638</c:v>
                </c:pt>
                <c:pt idx="220">
                  <c:v>0.23292393876501638</c:v>
                </c:pt>
                <c:pt idx="221">
                  <c:v>0.23292393876501638</c:v>
                </c:pt>
                <c:pt idx="222">
                  <c:v>0.23292393876501638</c:v>
                </c:pt>
                <c:pt idx="223">
                  <c:v>0.23292393876501638</c:v>
                </c:pt>
                <c:pt idx="224">
                  <c:v>0.23292393876501638</c:v>
                </c:pt>
                <c:pt idx="225">
                  <c:v>0.23292393876501638</c:v>
                </c:pt>
                <c:pt idx="226">
                  <c:v>0.23292393876501638</c:v>
                </c:pt>
                <c:pt idx="227">
                  <c:v>0.23622245455956417</c:v>
                </c:pt>
                <c:pt idx="228">
                  <c:v>0.23622245455956417</c:v>
                </c:pt>
                <c:pt idx="229">
                  <c:v>0.23622245455956417</c:v>
                </c:pt>
                <c:pt idx="230">
                  <c:v>0.23622245455956417</c:v>
                </c:pt>
                <c:pt idx="231">
                  <c:v>0.23622245455956417</c:v>
                </c:pt>
                <c:pt idx="232">
                  <c:v>0.23622245455956417</c:v>
                </c:pt>
                <c:pt idx="233">
                  <c:v>0.23622245455956417</c:v>
                </c:pt>
                <c:pt idx="234">
                  <c:v>0.23622245455956417</c:v>
                </c:pt>
                <c:pt idx="235">
                  <c:v>0.23622245455956417</c:v>
                </c:pt>
                <c:pt idx="236">
                  <c:v>0.23622245455956417</c:v>
                </c:pt>
                <c:pt idx="237">
                  <c:v>0.23622245455956417</c:v>
                </c:pt>
                <c:pt idx="238">
                  <c:v>0.23622245455956417</c:v>
                </c:pt>
                <c:pt idx="239">
                  <c:v>0.23938994458082449</c:v>
                </c:pt>
                <c:pt idx="240">
                  <c:v>0.23938994458082449</c:v>
                </c:pt>
                <c:pt idx="241">
                  <c:v>0.23938994458082449</c:v>
                </c:pt>
                <c:pt idx="242">
                  <c:v>0.23938994458082449</c:v>
                </c:pt>
                <c:pt idx="243">
                  <c:v>0.23938994458082449</c:v>
                </c:pt>
                <c:pt idx="244">
                  <c:v>0.23938994458082449</c:v>
                </c:pt>
                <c:pt idx="245">
                  <c:v>0.23938994458082449</c:v>
                </c:pt>
                <c:pt idx="246">
                  <c:v>0.23938994458082449</c:v>
                </c:pt>
                <c:pt idx="247">
                  <c:v>0.23938994458082449</c:v>
                </c:pt>
                <c:pt idx="248">
                  <c:v>0.23938994458082449</c:v>
                </c:pt>
                <c:pt idx="249">
                  <c:v>0.23938994458082449</c:v>
                </c:pt>
                <c:pt idx="250">
                  <c:v>0.23938994458082449</c:v>
                </c:pt>
                <c:pt idx="251">
                  <c:v>0.24243213011639636</c:v>
                </c:pt>
                <c:pt idx="252">
                  <c:v>0.24243213011639636</c:v>
                </c:pt>
                <c:pt idx="253">
                  <c:v>0.24243213011639636</c:v>
                </c:pt>
                <c:pt idx="254">
                  <c:v>0.24243213011639636</c:v>
                </c:pt>
                <c:pt idx="255">
                  <c:v>0.24243213011639636</c:v>
                </c:pt>
                <c:pt idx="256">
                  <c:v>0.24243213011639636</c:v>
                </c:pt>
                <c:pt idx="257">
                  <c:v>0.24243213011639636</c:v>
                </c:pt>
                <c:pt idx="258">
                  <c:v>0.24243213011639636</c:v>
                </c:pt>
                <c:pt idx="259">
                  <c:v>0.24243213011639636</c:v>
                </c:pt>
                <c:pt idx="260">
                  <c:v>0.24243213011639636</c:v>
                </c:pt>
                <c:pt idx="261">
                  <c:v>0.24243213011639636</c:v>
                </c:pt>
                <c:pt idx="262">
                  <c:v>0.24243213011639636</c:v>
                </c:pt>
                <c:pt idx="263">
                  <c:v>0.24535456326634916</c:v>
                </c:pt>
                <c:pt idx="264">
                  <c:v>0.24535456326634916</c:v>
                </c:pt>
                <c:pt idx="265">
                  <c:v>0.24535456326634916</c:v>
                </c:pt>
                <c:pt idx="266">
                  <c:v>0.24535456326634916</c:v>
                </c:pt>
                <c:pt idx="267">
                  <c:v>0.24535456326634916</c:v>
                </c:pt>
                <c:pt idx="268">
                  <c:v>0.24535456326634916</c:v>
                </c:pt>
                <c:pt idx="269">
                  <c:v>0.24535456326634916</c:v>
                </c:pt>
                <c:pt idx="270">
                  <c:v>0.24535456326634916</c:v>
                </c:pt>
                <c:pt idx="271">
                  <c:v>0.24535456326634916</c:v>
                </c:pt>
                <c:pt idx="272">
                  <c:v>0.24535456326634916</c:v>
                </c:pt>
                <c:pt idx="273">
                  <c:v>0.24535456326634916</c:v>
                </c:pt>
                <c:pt idx="274">
                  <c:v>0.24535456326634916</c:v>
                </c:pt>
                <c:pt idx="275">
                  <c:v>0.248162537677732</c:v>
                </c:pt>
                <c:pt idx="276">
                  <c:v>0.248162537677732</c:v>
                </c:pt>
                <c:pt idx="277">
                  <c:v>0.248162537677732</c:v>
                </c:pt>
                <c:pt idx="278">
                  <c:v>0.248162537677732</c:v>
                </c:pt>
                <c:pt idx="279">
                  <c:v>0.248162537677732</c:v>
                </c:pt>
                <c:pt idx="280">
                  <c:v>0.248162537677732</c:v>
                </c:pt>
                <c:pt idx="281">
                  <c:v>0.248162537677732</c:v>
                </c:pt>
                <c:pt idx="282">
                  <c:v>0.248162537677732</c:v>
                </c:pt>
                <c:pt idx="283">
                  <c:v>0.248162537677732</c:v>
                </c:pt>
                <c:pt idx="284">
                  <c:v>0.248162537677732</c:v>
                </c:pt>
                <c:pt idx="285">
                  <c:v>0.248162537677732</c:v>
                </c:pt>
                <c:pt idx="286">
                  <c:v>0.248162537677732</c:v>
                </c:pt>
                <c:pt idx="287">
                  <c:v>0.25086107931694401</c:v>
                </c:pt>
                <c:pt idx="288">
                  <c:v>0.25086107931694401</c:v>
                </c:pt>
                <c:pt idx="289">
                  <c:v>0.25086107931694401</c:v>
                </c:pt>
                <c:pt idx="290">
                  <c:v>0.25086107931694401</c:v>
                </c:pt>
                <c:pt idx="291">
                  <c:v>0.25086107931694401</c:v>
                </c:pt>
                <c:pt idx="292">
                  <c:v>0.25086107931694401</c:v>
                </c:pt>
                <c:pt idx="293">
                  <c:v>0.25086107931694401</c:v>
                </c:pt>
                <c:pt idx="294">
                  <c:v>0.25086107931694401</c:v>
                </c:pt>
                <c:pt idx="295">
                  <c:v>0.25086107931694401</c:v>
                </c:pt>
                <c:pt idx="296">
                  <c:v>0.25086107931694401</c:v>
                </c:pt>
                <c:pt idx="297">
                  <c:v>0.25086107931694401</c:v>
                </c:pt>
                <c:pt idx="298">
                  <c:v>0.25086107931694401</c:v>
                </c:pt>
                <c:pt idx="299">
                  <c:v>0.25345495673605672</c:v>
                </c:pt>
                <c:pt idx="300">
                  <c:v>0.25345495673605672</c:v>
                </c:pt>
                <c:pt idx="301">
                  <c:v>0.25345495673605672</c:v>
                </c:pt>
                <c:pt idx="302">
                  <c:v>0.25345495673605672</c:v>
                </c:pt>
                <c:pt idx="303">
                  <c:v>0.25345495673605672</c:v>
                </c:pt>
                <c:pt idx="304">
                  <c:v>0.25345495673605672</c:v>
                </c:pt>
                <c:pt idx="305">
                  <c:v>0.25345495673605672</c:v>
                </c:pt>
                <c:pt idx="306">
                  <c:v>0.25345495673605672</c:v>
                </c:pt>
                <c:pt idx="307">
                  <c:v>0.25345495673605672</c:v>
                </c:pt>
                <c:pt idx="308">
                  <c:v>0.25345495673605672</c:v>
                </c:pt>
                <c:pt idx="309">
                  <c:v>0.25345495673605672</c:v>
                </c:pt>
                <c:pt idx="310">
                  <c:v>0.25345495673605672</c:v>
                </c:pt>
                <c:pt idx="311">
                  <c:v>0.25600258852781954</c:v>
                </c:pt>
                <c:pt idx="312">
                  <c:v>0.25600258852781954</c:v>
                </c:pt>
                <c:pt idx="313">
                  <c:v>0.25600258852781954</c:v>
                </c:pt>
                <c:pt idx="314">
                  <c:v>0.25600258852781954</c:v>
                </c:pt>
                <c:pt idx="315">
                  <c:v>0.25600258852781954</c:v>
                </c:pt>
                <c:pt idx="316">
                  <c:v>0.25600258852781954</c:v>
                </c:pt>
                <c:pt idx="317">
                  <c:v>0.25600258852781954</c:v>
                </c:pt>
                <c:pt idx="318">
                  <c:v>0.25600258852781954</c:v>
                </c:pt>
                <c:pt idx="319">
                  <c:v>0.25600258852781954</c:v>
                </c:pt>
                <c:pt idx="320">
                  <c:v>0.25600258852781954</c:v>
                </c:pt>
                <c:pt idx="321">
                  <c:v>0.25600258852781954</c:v>
                </c:pt>
                <c:pt idx="322">
                  <c:v>0.25600258852781954</c:v>
                </c:pt>
                <c:pt idx="323">
                  <c:v>0.25850977728616847</c:v>
                </c:pt>
                <c:pt idx="324">
                  <c:v>0.25850977728616847</c:v>
                </c:pt>
                <c:pt idx="325">
                  <c:v>0.25850977728616847</c:v>
                </c:pt>
                <c:pt idx="326">
                  <c:v>0.25850977728616847</c:v>
                </c:pt>
                <c:pt idx="327">
                  <c:v>0.25850977728616847</c:v>
                </c:pt>
                <c:pt idx="328">
                  <c:v>0.25850977728616847</c:v>
                </c:pt>
                <c:pt idx="329">
                  <c:v>0.25850977728616847</c:v>
                </c:pt>
                <c:pt idx="330">
                  <c:v>0.25850977728616847</c:v>
                </c:pt>
                <c:pt idx="331">
                  <c:v>0.25850977728616847</c:v>
                </c:pt>
                <c:pt idx="332">
                  <c:v>0.25850977728616847</c:v>
                </c:pt>
                <c:pt idx="333">
                  <c:v>0.25850977728616847</c:v>
                </c:pt>
                <c:pt idx="334">
                  <c:v>0.25850977728616847</c:v>
                </c:pt>
                <c:pt idx="335">
                  <c:v>0.26092449238154836</c:v>
                </c:pt>
                <c:pt idx="336">
                  <c:v>0.26092449238154836</c:v>
                </c:pt>
                <c:pt idx="337">
                  <c:v>0.26092449238154836</c:v>
                </c:pt>
                <c:pt idx="338">
                  <c:v>0.26092449238154836</c:v>
                </c:pt>
                <c:pt idx="339">
                  <c:v>0.26092449238154836</c:v>
                </c:pt>
                <c:pt idx="340">
                  <c:v>0.26092449238154836</c:v>
                </c:pt>
                <c:pt idx="341">
                  <c:v>0.26092449238154836</c:v>
                </c:pt>
                <c:pt idx="342">
                  <c:v>0.26092449238154836</c:v>
                </c:pt>
                <c:pt idx="343">
                  <c:v>0.26092449238154836</c:v>
                </c:pt>
                <c:pt idx="344">
                  <c:v>0.26092449238154836</c:v>
                </c:pt>
                <c:pt idx="345">
                  <c:v>0.26092449238154836</c:v>
                </c:pt>
                <c:pt idx="346">
                  <c:v>0.26092449238154836</c:v>
                </c:pt>
                <c:pt idx="347">
                  <c:v>0.26324768937567522</c:v>
                </c:pt>
                <c:pt idx="348">
                  <c:v>0.26324768937567522</c:v>
                </c:pt>
                <c:pt idx="349">
                  <c:v>0.26324768937567522</c:v>
                </c:pt>
                <c:pt idx="350">
                  <c:v>0.26324768937567522</c:v>
                </c:pt>
                <c:pt idx="351">
                  <c:v>0.26324768937567522</c:v>
                </c:pt>
                <c:pt idx="352">
                  <c:v>0.26324768937567522</c:v>
                </c:pt>
                <c:pt idx="353">
                  <c:v>0.26324768937567522</c:v>
                </c:pt>
                <c:pt idx="354">
                  <c:v>0.26324768937567522</c:v>
                </c:pt>
                <c:pt idx="355">
                  <c:v>0.26324768937567522</c:v>
                </c:pt>
                <c:pt idx="356">
                  <c:v>0.26324768937567522</c:v>
                </c:pt>
                <c:pt idx="357">
                  <c:v>0.26324768937567522</c:v>
                </c:pt>
                <c:pt idx="358">
                  <c:v>0.26324768937567522</c:v>
                </c:pt>
                <c:pt idx="359">
                  <c:v>0.2654824727656222</c:v>
                </c:pt>
                <c:pt idx="360">
                  <c:v>0.2654824727656222</c:v>
                </c:pt>
                <c:pt idx="361">
                  <c:v>0.2654824727656222</c:v>
                </c:pt>
                <c:pt idx="362">
                  <c:v>0.2654824727656222</c:v>
                </c:pt>
                <c:pt idx="363">
                  <c:v>0.2654824727656222</c:v>
                </c:pt>
                <c:pt idx="364">
                  <c:v>0.2654824727656222</c:v>
                </c:pt>
                <c:pt idx="365">
                  <c:v>0.2654824727656222</c:v>
                </c:pt>
                <c:pt idx="366">
                  <c:v>0.2654824727656222</c:v>
                </c:pt>
                <c:pt idx="367">
                  <c:v>0.2654824727656222</c:v>
                </c:pt>
                <c:pt idx="368">
                  <c:v>0.2654824727656222</c:v>
                </c:pt>
                <c:pt idx="369">
                  <c:v>0.2654824727656222</c:v>
                </c:pt>
                <c:pt idx="370">
                  <c:v>0.2654824727656222</c:v>
                </c:pt>
                <c:pt idx="371">
                  <c:v>0.26763236439401145</c:v>
                </c:pt>
                <c:pt idx="372">
                  <c:v>0.26763236439401145</c:v>
                </c:pt>
                <c:pt idx="373">
                  <c:v>0.26763236439401145</c:v>
                </c:pt>
                <c:pt idx="374">
                  <c:v>0.26763236439401145</c:v>
                </c:pt>
                <c:pt idx="375">
                  <c:v>0.26763236439401145</c:v>
                </c:pt>
                <c:pt idx="376">
                  <c:v>0.26763236439401145</c:v>
                </c:pt>
                <c:pt idx="377">
                  <c:v>0.26763236439401145</c:v>
                </c:pt>
                <c:pt idx="378">
                  <c:v>0.26763236439401145</c:v>
                </c:pt>
                <c:pt idx="379">
                  <c:v>0.26763236439401145</c:v>
                </c:pt>
                <c:pt idx="380">
                  <c:v>0.26763236439401145</c:v>
                </c:pt>
                <c:pt idx="381">
                  <c:v>0.26763236439401145</c:v>
                </c:pt>
                <c:pt idx="382">
                  <c:v>0.26763236439401145</c:v>
                </c:pt>
                <c:pt idx="383">
                  <c:v>0.27004671047109935</c:v>
                </c:pt>
                <c:pt idx="384">
                  <c:v>0.27004671047109935</c:v>
                </c:pt>
                <c:pt idx="385">
                  <c:v>0.27004671047109935</c:v>
                </c:pt>
                <c:pt idx="386">
                  <c:v>0.27004671047109935</c:v>
                </c:pt>
                <c:pt idx="387">
                  <c:v>0.27004671047109935</c:v>
                </c:pt>
                <c:pt idx="388">
                  <c:v>0.27004671047109935</c:v>
                </c:pt>
                <c:pt idx="389">
                  <c:v>0.27004671047109935</c:v>
                </c:pt>
                <c:pt idx="390">
                  <c:v>0.27004671047109935</c:v>
                </c:pt>
                <c:pt idx="391">
                  <c:v>0.27004671047109935</c:v>
                </c:pt>
                <c:pt idx="392">
                  <c:v>0.27004671047109935</c:v>
                </c:pt>
                <c:pt idx="393">
                  <c:v>0.27004671047109935</c:v>
                </c:pt>
                <c:pt idx="394">
                  <c:v>0.27004671047109935</c:v>
                </c:pt>
                <c:pt idx="395">
                  <c:v>0.27384069330055172</c:v>
                </c:pt>
                <c:pt idx="396">
                  <c:v>0.27384069330055172</c:v>
                </c:pt>
                <c:pt idx="397">
                  <c:v>0.27384069330055172</c:v>
                </c:pt>
                <c:pt idx="398">
                  <c:v>0.27384069330055172</c:v>
                </c:pt>
                <c:pt idx="399">
                  <c:v>0.27384069330055172</c:v>
                </c:pt>
                <c:pt idx="400">
                  <c:v>0.27384069330055172</c:v>
                </c:pt>
                <c:pt idx="401">
                  <c:v>0.27384069330055172</c:v>
                </c:pt>
                <c:pt idx="402">
                  <c:v>0.27384069330055172</c:v>
                </c:pt>
                <c:pt idx="403">
                  <c:v>0.27384069330055172</c:v>
                </c:pt>
                <c:pt idx="404">
                  <c:v>0.27384069330055172</c:v>
                </c:pt>
                <c:pt idx="405">
                  <c:v>0.27384069330055172</c:v>
                </c:pt>
                <c:pt idx="406">
                  <c:v>0.27384069330055172</c:v>
                </c:pt>
                <c:pt idx="407">
                  <c:v>0.27761530706031751</c:v>
                </c:pt>
                <c:pt idx="408">
                  <c:v>0.27761530706031751</c:v>
                </c:pt>
                <c:pt idx="409">
                  <c:v>0.27761530706031751</c:v>
                </c:pt>
                <c:pt idx="410">
                  <c:v>0.27761530706031751</c:v>
                </c:pt>
                <c:pt idx="411">
                  <c:v>0.27761530706031751</c:v>
                </c:pt>
                <c:pt idx="412">
                  <c:v>0.27761530706031751</c:v>
                </c:pt>
                <c:pt idx="413">
                  <c:v>0.27761530706031751</c:v>
                </c:pt>
                <c:pt idx="414">
                  <c:v>0.27761530706031751</c:v>
                </c:pt>
                <c:pt idx="415">
                  <c:v>0.27761530706031751</c:v>
                </c:pt>
                <c:pt idx="416">
                  <c:v>0.27761530706031751</c:v>
                </c:pt>
                <c:pt idx="417">
                  <c:v>0.27761530706031751</c:v>
                </c:pt>
                <c:pt idx="418">
                  <c:v>0.27761530706031751</c:v>
                </c:pt>
                <c:pt idx="419">
                  <c:v>0.28127485209684872</c:v>
                </c:pt>
                <c:pt idx="420">
                  <c:v>0.28127485209684872</c:v>
                </c:pt>
                <c:pt idx="421">
                  <c:v>0.28127485209684872</c:v>
                </c:pt>
                <c:pt idx="422">
                  <c:v>0.28127485209684872</c:v>
                </c:pt>
                <c:pt idx="423">
                  <c:v>0.28127485209684872</c:v>
                </c:pt>
                <c:pt idx="424">
                  <c:v>0.28127485209684872</c:v>
                </c:pt>
                <c:pt idx="425">
                  <c:v>0.28127485209684872</c:v>
                </c:pt>
                <c:pt idx="426">
                  <c:v>0.28127485209684872</c:v>
                </c:pt>
                <c:pt idx="427">
                  <c:v>0.28127485209684872</c:v>
                </c:pt>
                <c:pt idx="428">
                  <c:v>0.28127485209684872</c:v>
                </c:pt>
                <c:pt idx="429">
                  <c:v>0.28127485209684872</c:v>
                </c:pt>
                <c:pt idx="430">
                  <c:v>0.28127485209684872</c:v>
                </c:pt>
                <c:pt idx="431">
                  <c:v>0.28479592282722271</c:v>
                </c:pt>
                <c:pt idx="432">
                  <c:v>0.28479592282722271</c:v>
                </c:pt>
                <c:pt idx="433">
                  <c:v>0.28479592282722271</c:v>
                </c:pt>
                <c:pt idx="434">
                  <c:v>0.28479592282722271</c:v>
                </c:pt>
                <c:pt idx="435">
                  <c:v>0.28479592282722271</c:v>
                </c:pt>
                <c:pt idx="436">
                  <c:v>0.28479592282722271</c:v>
                </c:pt>
                <c:pt idx="437">
                  <c:v>0.28479592282722271</c:v>
                </c:pt>
                <c:pt idx="438">
                  <c:v>0.28479592282722271</c:v>
                </c:pt>
                <c:pt idx="439">
                  <c:v>0.28479592282722271</c:v>
                </c:pt>
                <c:pt idx="440">
                  <c:v>0.28479592282722271</c:v>
                </c:pt>
                <c:pt idx="441">
                  <c:v>0.28479592282722271</c:v>
                </c:pt>
                <c:pt idx="442">
                  <c:v>0.28479592282722271</c:v>
                </c:pt>
                <c:pt idx="443">
                  <c:v>0.28817647237083821</c:v>
                </c:pt>
                <c:pt idx="444">
                  <c:v>0.28817647237083821</c:v>
                </c:pt>
                <c:pt idx="445">
                  <c:v>0.28817647237083821</c:v>
                </c:pt>
                <c:pt idx="446">
                  <c:v>0.28817647237083821</c:v>
                </c:pt>
                <c:pt idx="447">
                  <c:v>0.28817647237083821</c:v>
                </c:pt>
                <c:pt idx="448">
                  <c:v>0.28817647237083821</c:v>
                </c:pt>
                <c:pt idx="449">
                  <c:v>0.28817647237083821</c:v>
                </c:pt>
                <c:pt idx="450">
                  <c:v>0.28817647237083821</c:v>
                </c:pt>
                <c:pt idx="451">
                  <c:v>0.28817647237083821</c:v>
                </c:pt>
                <c:pt idx="452">
                  <c:v>0.28817647237083821</c:v>
                </c:pt>
                <c:pt idx="453">
                  <c:v>0.28817647237083821</c:v>
                </c:pt>
                <c:pt idx="454">
                  <c:v>0.28817647237083821</c:v>
                </c:pt>
                <c:pt idx="455">
                  <c:v>0.29142054903069553</c:v>
                </c:pt>
                <c:pt idx="456">
                  <c:v>0.29142054903069553</c:v>
                </c:pt>
                <c:pt idx="457">
                  <c:v>0.29142054903069553</c:v>
                </c:pt>
                <c:pt idx="458">
                  <c:v>0.29142054903069553</c:v>
                </c:pt>
                <c:pt idx="459">
                  <c:v>0.29142054903069553</c:v>
                </c:pt>
                <c:pt idx="460">
                  <c:v>0.29142054903069553</c:v>
                </c:pt>
                <c:pt idx="461">
                  <c:v>0.29142054903069553</c:v>
                </c:pt>
                <c:pt idx="462">
                  <c:v>0.29142054903069553</c:v>
                </c:pt>
                <c:pt idx="463">
                  <c:v>0.29142054903069553</c:v>
                </c:pt>
                <c:pt idx="464">
                  <c:v>0.29142054903069553</c:v>
                </c:pt>
                <c:pt idx="465">
                  <c:v>0.29142054903069553</c:v>
                </c:pt>
                <c:pt idx="466">
                  <c:v>0.29142054903069553</c:v>
                </c:pt>
                <c:pt idx="467">
                  <c:v>0.25844705221664188</c:v>
                </c:pt>
                <c:pt idx="468">
                  <c:v>0.25844705221664188</c:v>
                </c:pt>
                <c:pt idx="469">
                  <c:v>0.25844705221664188</c:v>
                </c:pt>
                <c:pt idx="470">
                  <c:v>0.25844705221664188</c:v>
                </c:pt>
                <c:pt idx="471">
                  <c:v>0.25844705221664188</c:v>
                </c:pt>
                <c:pt idx="472">
                  <c:v>0.25844705221664188</c:v>
                </c:pt>
                <c:pt idx="473">
                  <c:v>0.25844705221664188</c:v>
                </c:pt>
                <c:pt idx="474">
                  <c:v>0.25844705221664188</c:v>
                </c:pt>
                <c:pt idx="475">
                  <c:v>0.25844705221664188</c:v>
                </c:pt>
                <c:pt idx="476">
                  <c:v>0.25844705221664188</c:v>
                </c:pt>
                <c:pt idx="477">
                  <c:v>0.25844705221664188</c:v>
                </c:pt>
                <c:pt idx="478">
                  <c:v>0.25844705221664188</c:v>
                </c:pt>
                <c:pt idx="479">
                  <c:v>0.19737983436984505</c:v>
                </c:pt>
                <c:pt idx="480">
                  <c:v>0.19737983436984505</c:v>
                </c:pt>
                <c:pt idx="481">
                  <c:v>0.19737983436984505</c:v>
                </c:pt>
                <c:pt idx="482">
                  <c:v>0.19737983436984505</c:v>
                </c:pt>
                <c:pt idx="483">
                  <c:v>0.19737983436984505</c:v>
                </c:pt>
                <c:pt idx="484">
                  <c:v>0.19737983436984505</c:v>
                </c:pt>
                <c:pt idx="485">
                  <c:v>0.19737983436984505</c:v>
                </c:pt>
                <c:pt idx="486">
                  <c:v>0.19737983436984505</c:v>
                </c:pt>
                <c:pt idx="487">
                  <c:v>0.19737983436984505</c:v>
                </c:pt>
                <c:pt idx="488">
                  <c:v>0.19737983436984505</c:v>
                </c:pt>
                <c:pt idx="489">
                  <c:v>0.19737983436984505</c:v>
                </c:pt>
                <c:pt idx="490">
                  <c:v>0.19737983436984505</c:v>
                </c:pt>
                <c:pt idx="491">
                  <c:v>0.18749370366011991</c:v>
                </c:pt>
                <c:pt idx="492">
                  <c:v>0.18845917645080298</c:v>
                </c:pt>
                <c:pt idx="493">
                  <c:v>0.18943464384343131</c:v>
                </c:pt>
                <c:pt idx="494">
                  <c:v>0.19042026184209215</c:v>
                </c:pt>
                <c:pt idx="495">
                  <c:v>0.19141618971457619</c:v>
                </c:pt>
              </c:numCache>
            </c:numRef>
          </c:val>
          <c:smooth val="0"/>
        </c:ser>
        <c:dLbls>
          <c:showLegendKey val="0"/>
          <c:showVal val="0"/>
          <c:showCatName val="0"/>
          <c:showSerName val="0"/>
          <c:showPercent val="0"/>
          <c:showBubbleSize val="0"/>
        </c:dLbls>
        <c:marker val="1"/>
        <c:smooth val="0"/>
        <c:axId val="77305344"/>
        <c:axId val="77306880"/>
      </c:lineChart>
      <c:catAx>
        <c:axId val="77305344"/>
        <c:scaling>
          <c:orientation val="minMax"/>
        </c:scaling>
        <c:delete val="0"/>
        <c:axPos val="b"/>
        <c:numFmt formatCode="General" sourceLinked="1"/>
        <c:majorTickMark val="out"/>
        <c:minorTickMark val="none"/>
        <c:tickLblPos val="nextTo"/>
        <c:crossAx val="77306880"/>
        <c:crosses val="autoZero"/>
        <c:auto val="1"/>
        <c:lblAlgn val="ctr"/>
        <c:lblOffset val="100"/>
        <c:noMultiLvlLbl val="0"/>
      </c:catAx>
      <c:valAx>
        <c:axId val="77306880"/>
        <c:scaling>
          <c:orientation val="minMax"/>
        </c:scaling>
        <c:delete val="0"/>
        <c:axPos val="l"/>
        <c:majorGridlines/>
        <c:numFmt formatCode="0.00%" sourceLinked="1"/>
        <c:majorTickMark val="out"/>
        <c:minorTickMark val="none"/>
        <c:tickLblPos val="nextTo"/>
        <c:crossAx val="77305344"/>
        <c:crosses val="autoZero"/>
        <c:crossBetween val="between"/>
      </c:valAx>
    </c:plotArea>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56"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65</xdr:row>
      <xdr:rowOff>28573</xdr:rowOff>
    </xdr:from>
    <xdr:to>
      <xdr:col>11</xdr:col>
      <xdr:colOff>180976</xdr:colOff>
      <xdr:row>99</xdr:row>
      <xdr:rowOff>38099</xdr:rowOff>
    </xdr:to>
    <xdr:graphicFrame macro="">
      <xdr:nvGraphicFramePr>
        <xdr:cNvPr id="2" name="Projected Accumulation" descr="Projected growth of retirement investments." title="Accumula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100</xdr:row>
      <xdr:rowOff>0</xdr:rowOff>
    </xdr:from>
    <xdr:to>
      <xdr:col>11</xdr:col>
      <xdr:colOff>180975</xdr:colOff>
      <xdr:row>131</xdr:row>
      <xdr:rowOff>76201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132</xdr:row>
      <xdr:rowOff>0</xdr:rowOff>
    </xdr:from>
    <xdr:to>
      <xdr:col>11</xdr:col>
      <xdr:colOff>161926</xdr:colOff>
      <xdr:row>166</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33337</xdr:colOff>
      <xdr:row>166</xdr:row>
      <xdr:rowOff>161924</xdr:rowOff>
    </xdr:from>
    <xdr:to>
      <xdr:col>11</xdr:col>
      <xdr:colOff>152400</xdr:colOff>
      <xdr:row>196</xdr:row>
      <xdr:rowOff>57149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0.20663</cdr:x>
      <cdr:y>0.31379</cdr:y>
    </cdr:from>
    <cdr:to>
      <cdr:x>0.31271</cdr:x>
      <cdr:y>0.47931</cdr:y>
    </cdr:to>
    <cdr:sp macro="" textlink="">
      <cdr:nvSpPr>
        <cdr:cNvPr id="2" name="TextBox 1"/>
        <cdr:cNvSpPr txBox="1"/>
      </cdr:nvSpPr>
      <cdr:spPr>
        <a:xfrm xmlns:a="http://schemas.openxmlformats.org/drawingml/2006/main">
          <a:off x="1781176" y="17335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A274"/>
  <sheetViews>
    <sheetView tabSelected="1" zoomScaleNormal="100" workbookViewId="0">
      <pane xSplit="13" ySplit="9" topLeftCell="N10" activePane="bottomRight" state="frozen"/>
      <selection pane="topRight" activeCell="N1" sqref="N1"/>
      <selection pane="bottomLeft" activeCell="A10" sqref="A10"/>
      <selection pane="bottomRight" activeCell="J21" sqref="J21:K21"/>
    </sheetView>
  </sheetViews>
  <sheetFormatPr defaultRowHeight="12.75" x14ac:dyDescent="0.2"/>
  <cols>
    <col min="1" max="1" width="2.5703125" customWidth="1"/>
    <col min="2" max="2" width="22.5703125" customWidth="1"/>
    <col min="3" max="3" width="5.42578125" customWidth="1"/>
    <col min="4" max="4" width="12.140625" customWidth="1"/>
    <col min="6" max="6" width="12.5703125" customWidth="1"/>
    <col min="7" max="7" width="3.42578125" customWidth="1"/>
    <col min="8" max="8" width="28" customWidth="1"/>
    <col min="9" max="9" width="13.28515625" customWidth="1"/>
    <col min="10" max="10" width="11.28515625" customWidth="1"/>
    <col min="11" max="11" width="15.42578125" bestFit="1" customWidth="1"/>
    <col min="12" max="12" width="5" customWidth="1"/>
    <col min="13" max="13" width="5.7109375" customWidth="1"/>
    <col min="16" max="16" width="8.42578125" customWidth="1"/>
    <col min="17" max="17" width="7.7109375" customWidth="1"/>
    <col min="19" max="19" width="9.85546875" customWidth="1"/>
    <col min="22" max="22" width="10" customWidth="1"/>
    <col min="23" max="23" width="10.28515625" customWidth="1"/>
    <col min="24" max="24" width="10.140625" customWidth="1"/>
    <col min="25" max="25" width="4.28515625" customWidth="1"/>
    <col min="26" max="26" width="9" customWidth="1"/>
    <col min="27" max="27" width="3.42578125" customWidth="1"/>
  </cols>
  <sheetData>
    <row r="1" spans="2:27" ht="13.5" thickBot="1" x14ac:dyDescent="0.25"/>
    <row r="2" spans="2:27" x14ac:dyDescent="0.2">
      <c r="B2" s="145" t="s">
        <v>23</v>
      </c>
      <c r="C2" s="146"/>
      <c r="D2" s="146"/>
      <c r="E2" s="146"/>
      <c r="F2" s="146"/>
      <c r="G2" s="146"/>
      <c r="H2" s="146"/>
      <c r="I2" s="146"/>
      <c r="J2" s="146"/>
      <c r="K2" s="146"/>
      <c r="L2" s="146"/>
      <c r="M2" s="147"/>
    </row>
    <row r="3" spans="2:27" x14ac:dyDescent="0.2">
      <c r="B3" s="148"/>
      <c r="C3" s="149"/>
      <c r="D3" s="149"/>
      <c r="E3" s="149"/>
      <c r="F3" s="149"/>
      <c r="G3" s="149"/>
      <c r="H3" s="149"/>
      <c r="I3" s="149"/>
      <c r="J3" s="149"/>
      <c r="K3" s="149"/>
      <c r="L3" s="149"/>
      <c r="M3" s="150"/>
    </row>
    <row r="4" spans="2:27" ht="13.5" thickBot="1" x14ac:dyDescent="0.25">
      <c r="B4" s="151"/>
      <c r="C4" s="152"/>
      <c r="D4" s="152"/>
      <c r="E4" s="152"/>
      <c r="F4" s="152"/>
      <c r="G4" s="152"/>
      <c r="H4" s="152"/>
      <c r="I4" s="152"/>
      <c r="J4" s="152"/>
      <c r="K4" s="152"/>
      <c r="L4" s="152"/>
      <c r="M4" s="153"/>
    </row>
    <row r="5" spans="2:27" ht="13.5" thickBot="1" x14ac:dyDescent="0.25">
      <c r="O5" s="107" t="s">
        <v>118</v>
      </c>
      <c r="P5" s="164"/>
      <c r="Q5" s="164"/>
      <c r="R5" s="164"/>
      <c r="S5" s="164"/>
      <c r="T5" s="165"/>
    </row>
    <row r="6" spans="2:27" ht="13.5" customHeight="1" thickBot="1" x14ac:dyDescent="0.25">
      <c r="D6" s="111" t="s">
        <v>122</v>
      </c>
      <c r="E6" s="112"/>
      <c r="F6" s="113"/>
      <c r="O6" s="166"/>
      <c r="P6" s="167"/>
      <c r="Q6" s="167"/>
      <c r="R6" s="167"/>
      <c r="S6" s="167"/>
      <c r="T6" s="168"/>
    </row>
    <row r="7" spans="2:27" ht="12.75" customHeight="1" x14ac:dyDescent="0.2">
      <c r="B7" s="154" t="s">
        <v>18</v>
      </c>
      <c r="D7" s="114"/>
      <c r="E7" s="115"/>
      <c r="F7" s="116"/>
      <c r="H7" s="107" t="s">
        <v>39</v>
      </c>
      <c r="I7" s="164"/>
      <c r="J7" s="164"/>
      <c r="K7" s="165"/>
      <c r="L7" s="35"/>
      <c r="N7" s="107" t="s">
        <v>38</v>
      </c>
      <c r="O7" s="108"/>
      <c r="P7" s="108"/>
      <c r="Q7" s="108"/>
      <c r="R7" s="108"/>
      <c r="S7" s="108"/>
      <c r="T7" s="183" t="s">
        <v>53</v>
      </c>
      <c r="U7" s="184"/>
    </row>
    <row r="8" spans="2:27" ht="12.75" customHeight="1" thickBot="1" x14ac:dyDescent="0.25">
      <c r="B8" s="155"/>
      <c r="D8" s="117"/>
      <c r="E8" s="118"/>
      <c r="F8" s="119"/>
      <c r="H8" s="166"/>
      <c r="I8" s="167"/>
      <c r="J8" s="167"/>
      <c r="K8" s="168"/>
      <c r="L8" s="35"/>
      <c r="N8" s="109"/>
      <c r="O8" s="110"/>
      <c r="P8" s="110"/>
      <c r="Q8" s="110"/>
      <c r="R8" s="110"/>
      <c r="S8" s="110"/>
      <c r="T8" s="185"/>
      <c r="U8" s="186"/>
    </row>
    <row r="9" spans="2:27" ht="32.25" customHeight="1" thickBot="1" x14ac:dyDescent="0.45">
      <c r="B9" s="8" t="s">
        <v>0</v>
      </c>
      <c r="C9" s="9" t="s">
        <v>12</v>
      </c>
      <c r="D9" s="9" t="s">
        <v>1</v>
      </c>
      <c r="E9" s="9" t="s">
        <v>2</v>
      </c>
      <c r="F9" s="10" t="s">
        <v>3</v>
      </c>
      <c r="H9" s="156" t="s">
        <v>24</v>
      </c>
      <c r="I9" s="157"/>
      <c r="J9" s="25"/>
      <c r="K9" s="23"/>
      <c r="L9" s="21"/>
      <c r="M9" s="44" t="s">
        <v>42</v>
      </c>
      <c r="N9" s="29" t="s">
        <v>34</v>
      </c>
      <c r="O9" s="32" t="s">
        <v>26</v>
      </c>
      <c r="P9" s="61" t="s">
        <v>90</v>
      </c>
      <c r="Q9" s="29" t="s">
        <v>30</v>
      </c>
      <c r="R9" s="32" t="s">
        <v>35</v>
      </c>
      <c r="S9" s="37" t="s">
        <v>36</v>
      </c>
      <c r="T9" s="100" t="s">
        <v>136</v>
      </c>
      <c r="U9" s="76" t="s">
        <v>104</v>
      </c>
      <c r="V9" s="75" t="s">
        <v>29</v>
      </c>
      <c r="W9" s="48" t="s">
        <v>51</v>
      </c>
      <c r="X9" s="34" t="s">
        <v>11</v>
      </c>
      <c r="Z9" s="29" t="s">
        <v>95</v>
      </c>
    </row>
    <row r="10" spans="2:27" ht="16.5" customHeight="1" thickBot="1" x14ac:dyDescent="0.45">
      <c r="B10" s="79" t="s">
        <v>17</v>
      </c>
      <c r="C10" s="80">
        <v>4</v>
      </c>
      <c r="D10" s="81">
        <v>190</v>
      </c>
      <c r="E10" s="80">
        <v>12</v>
      </c>
      <c r="F10" s="12">
        <f t="shared" ref="F10:F31" si="0">D10*E10</f>
        <v>2280</v>
      </c>
      <c r="H10" s="158"/>
      <c r="I10" s="159"/>
      <c r="J10" s="26"/>
      <c r="K10" s="27"/>
      <c r="L10" s="36"/>
      <c r="M10" s="45">
        <f t="shared" ref="M10:M41" si="1">(INT((((YEAR(N10)-YEAR(DATE(1970,10,16)))*12+MONTH(N10)-MONTH(DATE(1970,10,16)))/12)*10))/10</f>
        <v>43.2</v>
      </c>
      <c r="N10" s="42">
        <v>41640</v>
      </c>
      <c r="O10" s="49">
        <v>5732.52</v>
      </c>
      <c r="P10" s="49">
        <v>4000</v>
      </c>
      <c r="Q10" s="50">
        <v>3176.5</v>
      </c>
      <c r="R10" s="49">
        <v>6880.26</v>
      </c>
      <c r="S10" s="51">
        <v>170915.11</v>
      </c>
      <c r="T10" s="51">
        <v>90464.11</v>
      </c>
      <c r="U10" s="49">
        <v>22500</v>
      </c>
      <c r="V10" s="51">
        <v>30983.919999999998</v>
      </c>
      <c r="W10" s="63">
        <v>277168.5</v>
      </c>
      <c r="X10" s="68">
        <v>309796.93</v>
      </c>
      <c r="Y10" s="64"/>
      <c r="Z10" s="51">
        <v>1644.51</v>
      </c>
      <c r="AA10" s="2">
        <f t="shared" ref="AA10:AA73" ca="1" si="2">IF(AND(TODAY()&lt;N11,OR(TODAY()&gt;N10,TODAY()=N10)),ROW(Z10),AA9)</f>
        <v>0</v>
      </c>
    </row>
    <row r="11" spans="2:27" ht="13.5" thickBot="1" x14ac:dyDescent="0.25">
      <c r="B11" s="79"/>
      <c r="C11" s="80">
        <v>15</v>
      </c>
      <c r="D11" s="81">
        <v>0</v>
      </c>
      <c r="E11" s="80">
        <v>12</v>
      </c>
      <c r="F11" s="12">
        <f t="shared" si="0"/>
        <v>0</v>
      </c>
      <c r="H11" s="160" t="s">
        <v>25</v>
      </c>
      <c r="I11" s="162" t="s">
        <v>50</v>
      </c>
      <c r="J11" s="162"/>
      <c r="K11" s="163"/>
      <c r="L11" s="39"/>
      <c r="M11" s="5">
        <f t="shared" si="1"/>
        <v>43.3</v>
      </c>
      <c r="N11" s="43">
        <f t="shared" ref="N11:N42" si="3">DATE(YEAR(N10),MONTH(N10)+1,1)</f>
        <v>41671</v>
      </c>
      <c r="O11" s="49">
        <v>5732.52</v>
      </c>
      <c r="P11" s="49">
        <f>P10</f>
        <v>4000</v>
      </c>
      <c r="Q11" s="50">
        <v>3176.5</v>
      </c>
      <c r="R11" s="52">
        <v>7131.19</v>
      </c>
      <c r="S11" s="53">
        <v>175348.12</v>
      </c>
      <c r="T11" s="53">
        <v>91362.01</v>
      </c>
      <c r="U11" s="52">
        <f>U10+$K$18</f>
        <v>24000</v>
      </c>
      <c r="V11" s="51">
        <v>30983.919999999998</v>
      </c>
      <c r="W11" s="63">
        <v>282750.33999999997</v>
      </c>
      <c r="X11" s="68">
        <v>315460.84999999998</v>
      </c>
      <c r="Y11" s="64"/>
      <c r="Z11" s="53">
        <v>1726.59</v>
      </c>
      <c r="AA11" s="2">
        <f t="shared" ca="1" si="2"/>
        <v>0</v>
      </c>
    </row>
    <row r="12" spans="2:27" ht="13.5" thickBot="1" x14ac:dyDescent="0.25">
      <c r="B12" s="79" t="s">
        <v>4</v>
      </c>
      <c r="C12" s="80"/>
      <c r="D12" s="81">
        <v>65</v>
      </c>
      <c r="E12" s="80">
        <v>12</v>
      </c>
      <c r="F12" s="12">
        <f t="shared" si="0"/>
        <v>780</v>
      </c>
      <c r="H12" s="161"/>
      <c r="I12" s="29" t="s">
        <v>32</v>
      </c>
      <c r="J12" s="32" t="s">
        <v>31</v>
      </c>
      <c r="K12" s="29" t="s">
        <v>33</v>
      </c>
      <c r="L12" s="39"/>
      <c r="M12" s="5">
        <f t="shared" si="1"/>
        <v>43.4</v>
      </c>
      <c r="N12" s="43">
        <f t="shared" si="3"/>
        <v>41699</v>
      </c>
      <c r="O12" s="49">
        <v>5732.52</v>
      </c>
      <c r="P12" s="49">
        <f t="shared" ref="P12:P17" si="4">P11</f>
        <v>4000</v>
      </c>
      <c r="Q12" s="50">
        <v>3176.5</v>
      </c>
      <c r="R12" s="52">
        <v>7519.42</v>
      </c>
      <c r="S12" s="53">
        <v>171471.66</v>
      </c>
      <c r="T12" s="53">
        <v>94221.78</v>
      </c>
      <c r="U12" s="52">
        <f>U11</f>
        <v>24000</v>
      </c>
      <c r="V12" s="51">
        <v>30983.919999999998</v>
      </c>
      <c r="W12" s="63">
        <v>282121.88</v>
      </c>
      <c r="X12" s="68">
        <v>314832.39</v>
      </c>
      <c r="Y12" s="64"/>
      <c r="Z12" s="53">
        <v>1726.59</v>
      </c>
      <c r="AA12" s="2">
        <f t="shared" ca="1" si="2"/>
        <v>0</v>
      </c>
    </row>
    <row r="13" spans="2:27" x14ac:dyDescent="0.2">
      <c r="B13" s="79" t="s">
        <v>5</v>
      </c>
      <c r="C13" s="80">
        <v>1</v>
      </c>
      <c r="D13" s="81">
        <v>32</v>
      </c>
      <c r="E13" s="80">
        <v>12</v>
      </c>
      <c r="F13" s="12">
        <f t="shared" si="0"/>
        <v>384</v>
      </c>
      <c r="H13" s="82" t="s">
        <v>26</v>
      </c>
      <c r="I13" s="83">
        <v>5500</v>
      </c>
      <c r="J13" s="84">
        <v>6500</v>
      </c>
      <c r="K13" s="85">
        <v>6500</v>
      </c>
      <c r="L13" s="39"/>
      <c r="M13" s="5">
        <f t="shared" si="1"/>
        <v>43.5</v>
      </c>
      <c r="N13" s="43">
        <f t="shared" si="3"/>
        <v>41730</v>
      </c>
      <c r="O13" s="52">
        <v>5839.81</v>
      </c>
      <c r="P13" s="49">
        <f t="shared" si="4"/>
        <v>4000</v>
      </c>
      <c r="Q13" s="53">
        <v>3505.39</v>
      </c>
      <c r="R13" s="52">
        <v>8195</v>
      </c>
      <c r="S13" s="53">
        <v>180118.76</v>
      </c>
      <c r="T13" s="53">
        <v>95690.65</v>
      </c>
      <c r="U13" s="52">
        <f t="shared" ref="U13:U22" si="5">U12</f>
        <v>24000</v>
      </c>
      <c r="V13" s="53">
        <v>31045.63</v>
      </c>
      <c r="W13" s="63">
        <v>293349.61</v>
      </c>
      <c r="X13" s="68">
        <v>326221.65999999997</v>
      </c>
      <c r="Y13" s="64"/>
      <c r="Z13" s="53">
        <v>1826.42</v>
      </c>
      <c r="AA13" s="2">
        <f t="shared" ca="1" si="2"/>
        <v>0</v>
      </c>
    </row>
    <row r="14" spans="2:27" x14ac:dyDescent="0.2">
      <c r="B14" s="79" t="s">
        <v>6</v>
      </c>
      <c r="C14" s="80">
        <v>0</v>
      </c>
      <c r="D14" s="81">
        <v>620</v>
      </c>
      <c r="E14" s="80">
        <v>12</v>
      </c>
      <c r="F14" s="12">
        <f t="shared" si="0"/>
        <v>7440</v>
      </c>
      <c r="H14" s="86" t="s">
        <v>27</v>
      </c>
      <c r="I14" s="87">
        <v>0</v>
      </c>
      <c r="J14" s="88">
        <v>0</v>
      </c>
      <c r="K14" s="89">
        <v>0</v>
      </c>
      <c r="L14" s="39"/>
      <c r="M14" s="5">
        <f t="shared" si="1"/>
        <v>43.5</v>
      </c>
      <c r="N14" s="43">
        <f t="shared" si="3"/>
        <v>41760</v>
      </c>
      <c r="O14" s="52">
        <v>5839.81</v>
      </c>
      <c r="P14" s="49">
        <f t="shared" si="4"/>
        <v>4000</v>
      </c>
      <c r="Q14" s="53">
        <v>3505.39</v>
      </c>
      <c r="R14" s="52">
        <v>9057.49</v>
      </c>
      <c r="S14" s="53">
        <v>182314.99</v>
      </c>
      <c r="T14" s="53">
        <v>97607.84</v>
      </c>
      <c r="U14" s="52">
        <f t="shared" si="5"/>
        <v>24000</v>
      </c>
      <c r="V14" s="53">
        <v>31045.63</v>
      </c>
      <c r="W14" s="63">
        <v>298325.52</v>
      </c>
      <c r="X14" s="68">
        <v>331217</v>
      </c>
      <c r="Y14" s="64"/>
      <c r="Z14" s="53">
        <v>1845.85</v>
      </c>
      <c r="AA14" s="2">
        <f t="shared" ca="1" si="2"/>
        <v>0</v>
      </c>
    </row>
    <row r="15" spans="2:27" x14ac:dyDescent="0.2">
      <c r="B15" s="79" t="s">
        <v>111</v>
      </c>
      <c r="C15" s="80">
        <v>26</v>
      </c>
      <c r="D15" s="81">
        <v>199</v>
      </c>
      <c r="E15" s="80">
        <v>12</v>
      </c>
      <c r="F15" s="12">
        <f t="shared" si="0"/>
        <v>2388</v>
      </c>
      <c r="H15" s="86" t="s">
        <v>36</v>
      </c>
      <c r="I15" s="89">
        <v>0</v>
      </c>
      <c r="J15" s="88">
        <v>0</v>
      </c>
      <c r="K15" s="89">
        <v>0</v>
      </c>
      <c r="L15" s="40"/>
      <c r="M15" s="5">
        <f t="shared" si="1"/>
        <v>43.6</v>
      </c>
      <c r="N15" s="43">
        <f t="shared" si="3"/>
        <v>41791</v>
      </c>
      <c r="O15" s="52">
        <v>5839.81</v>
      </c>
      <c r="P15" s="49">
        <f t="shared" si="4"/>
        <v>4000</v>
      </c>
      <c r="Q15" s="53">
        <v>3505.39</v>
      </c>
      <c r="R15" s="52">
        <v>10179.5</v>
      </c>
      <c r="S15" s="53">
        <v>183928.03</v>
      </c>
      <c r="T15" s="53">
        <v>97947.14</v>
      </c>
      <c r="U15" s="52">
        <f t="shared" si="5"/>
        <v>24000</v>
      </c>
      <c r="V15" s="53">
        <v>31045.63</v>
      </c>
      <c r="W15" s="63">
        <v>301399.87</v>
      </c>
      <c r="X15" s="68">
        <v>334291.34999999998</v>
      </c>
      <c r="Y15" s="64"/>
      <c r="Z15" s="53">
        <v>1845.85</v>
      </c>
      <c r="AA15" s="2">
        <f t="shared" ca="1" si="2"/>
        <v>0</v>
      </c>
    </row>
    <row r="16" spans="2:27" x14ac:dyDescent="0.2">
      <c r="B16" s="79" t="s">
        <v>119</v>
      </c>
      <c r="C16" s="80">
        <v>99</v>
      </c>
      <c r="D16" s="81">
        <v>59</v>
      </c>
      <c r="E16" s="80">
        <v>12</v>
      </c>
      <c r="F16" s="12">
        <f t="shared" si="0"/>
        <v>708</v>
      </c>
      <c r="H16" s="90" t="s">
        <v>29</v>
      </c>
      <c r="I16" s="89">
        <v>3300</v>
      </c>
      <c r="J16" s="88">
        <v>3300</v>
      </c>
      <c r="K16" s="89">
        <v>4300</v>
      </c>
      <c r="L16" s="39"/>
      <c r="M16" s="5">
        <f t="shared" si="1"/>
        <v>43.7</v>
      </c>
      <c r="N16" s="43">
        <f t="shared" si="3"/>
        <v>41821</v>
      </c>
      <c r="O16" s="52">
        <v>6023.55</v>
      </c>
      <c r="P16" s="49">
        <f t="shared" si="4"/>
        <v>4000</v>
      </c>
      <c r="Q16" s="53">
        <v>3799.68</v>
      </c>
      <c r="R16" s="52">
        <v>10395.120000000001</v>
      </c>
      <c r="S16" s="53">
        <v>187825.23</v>
      </c>
      <c r="T16" s="53">
        <v>99307.09</v>
      </c>
      <c r="U16" s="52">
        <f t="shared" si="5"/>
        <v>24000</v>
      </c>
      <c r="V16" s="53">
        <v>32989.31</v>
      </c>
      <c r="W16" s="63">
        <v>307350.67000000004</v>
      </c>
      <c r="X16" s="68">
        <v>342258.19000000006</v>
      </c>
      <c r="Y16" s="64"/>
      <c r="Z16" s="53">
        <v>1918.21</v>
      </c>
      <c r="AA16" s="2">
        <f t="shared" ca="1" si="2"/>
        <v>0</v>
      </c>
    </row>
    <row r="17" spans="2:27" x14ac:dyDescent="0.2">
      <c r="B17" s="79" t="s">
        <v>7</v>
      </c>
      <c r="C17" s="80"/>
      <c r="D17" s="81">
        <v>100</v>
      </c>
      <c r="E17" s="80">
        <v>12</v>
      </c>
      <c r="F17" s="12">
        <f t="shared" si="0"/>
        <v>1200</v>
      </c>
      <c r="H17" s="90" t="s">
        <v>37</v>
      </c>
      <c r="I17" s="91">
        <v>0.05</v>
      </c>
      <c r="J17" s="92">
        <v>0.05</v>
      </c>
      <c r="K17" s="91">
        <v>0.05</v>
      </c>
      <c r="L17" s="39"/>
      <c r="M17" s="5">
        <f t="shared" si="1"/>
        <v>43.8</v>
      </c>
      <c r="N17" s="43">
        <f t="shared" si="3"/>
        <v>41852</v>
      </c>
      <c r="O17" s="52">
        <v>7337.16</v>
      </c>
      <c r="P17" s="49">
        <f t="shared" si="4"/>
        <v>4000</v>
      </c>
      <c r="Q17" s="53">
        <v>3073.32</v>
      </c>
      <c r="R17" s="52">
        <v>10572.96</v>
      </c>
      <c r="S17" s="53">
        <v>191041.12</v>
      </c>
      <c r="T17" s="53">
        <v>100517.99</v>
      </c>
      <c r="U17" s="52">
        <f t="shared" si="5"/>
        <v>24000</v>
      </c>
      <c r="V17" s="53">
        <v>32989.31</v>
      </c>
      <c r="W17" s="63">
        <v>312542.55</v>
      </c>
      <c r="X17" s="68">
        <v>347511.88</v>
      </c>
      <c r="Y17" s="64"/>
      <c r="Z17" s="53">
        <v>1980.02</v>
      </c>
      <c r="AA17" s="2">
        <f t="shared" ca="1" si="2"/>
        <v>0</v>
      </c>
    </row>
    <row r="18" spans="2:27" x14ac:dyDescent="0.2">
      <c r="B18" s="79" t="s">
        <v>22</v>
      </c>
      <c r="C18" s="80">
        <v>1</v>
      </c>
      <c r="D18" s="81">
        <v>226.5</v>
      </c>
      <c r="E18" s="80">
        <v>12</v>
      </c>
      <c r="F18" s="12">
        <f t="shared" si="0"/>
        <v>2718</v>
      </c>
      <c r="H18" s="28" t="s">
        <v>28</v>
      </c>
      <c r="I18" s="30">
        <v>1500</v>
      </c>
      <c r="J18" s="31">
        <v>1500</v>
      </c>
      <c r="K18" s="30">
        <v>1500</v>
      </c>
      <c r="M18" s="5">
        <f t="shared" si="1"/>
        <v>43.9</v>
      </c>
      <c r="N18" s="43">
        <f t="shared" si="3"/>
        <v>41883</v>
      </c>
      <c r="O18" s="52">
        <v>8736.81</v>
      </c>
      <c r="P18" s="52">
        <v>9500</v>
      </c>
      <c r="Q18" s="53">
        <v>3913.06</v>
      </c>
      <c r="R18" s="52">
        <v>10413.379999999999</v>
      </c>
      <c r="S18" s="53">
        <v>188158.35</v>
      </c>
      <c r="T18" s="53">
        <v>100520.34</v>
      </c>
      <c r="U18" s="52">
        <f t="shared" si="5"/>
        <v>24000</v>
      </c>
      <c r="V18" s="53">
        <v>32989.31</v>
      </c>
      <c r="W18" s="63">
        <v>311741.94</v>
      </c>
      <c r="X18" s="68">
        <v>346711.27</v>
      </c>
      <c r="Y18" s="64"/>
      <c r="Z18" s="53">
        <v>1980.02</v>
      </c>
      <c r="AA18" s="2">
        <f t="shared" ca="1" si="2"/>
        <v>0</v>
      </c>
    </row>
    <row r="19" spans="2:27" ht="13.5" thickBot="1" x14ac:dyDescent="0.25">
      <c r="B19" s="79" t="s">
        <v>110</v>
      </c>
      <c r="C19" s="80"/>
      <c r="D19" s="81">
        <v>40</v>
      </c>
      <c r="E19" s="80">
        <v>12</v>
      </c>
      <c r="F19" s="12">
        <f t="shared" si="0"/>
        <v>480</v>
      </c>
      <c r="H19" s="93" t="s">
        <v>30</v>
      </c>
      <c r="I19" s="94">
        <v>0</v>
      </c>
      <c r="J19" s="95">
        <v>0</v>
      </c>
      <c r="K19" s="94">
        <v>0</v>
      </c>
      <c r="L19" s="41"/>
      <c r="M19" s="5">
        <f t="shared" si="1"/>
        <v>44</v>
      </c>
      <c r="N19" s="43">
        <f t="shared" si="3"/>
        <v>41913</v>
      </c>
      <c r="O19" s="52">
        <v>9560.11</v>
      </c>
      <c r="P19" s="52">
        <f>P18</f>
        <v>9500</v>
      </c>
      <c r="Q19" s="53">
        <v>3857.3</v>
      </c>
      <c r="R19" s="52">
        <v>10808.91</v>
      </c>
      <c r="S19" s="53">
        <v>195306.16</v>
      </c>
      <c r="T19" s="53">
        <v>101890.77</v>
      </c>
      <c r="U19" s="52">
        <f t="shared" si="5"/>
        <v>24000</v>
      </c>
      <c r="V19" s="53">
        <v>32570.33</v>
      </c>
      <c r="W19" s="63">
        <v>321423.25</v>
      </c>
      <c r="X19" s="68">
        <v>355850.99</v>
      </c>
      <c r="Y19" s="64"/>
      <c r="Z19" s="53">
        <v>1857.41</v>
      </c>
      <c r="AA19" s="2">
        <f t="shared" ca="1" si="2"/>
        <v>0</v>
      </c>
    </row>
    <row r="20" spans="2:27" ht="13.5" thickBot="1" x14ac:dyDescent="0.25">
      <c r="B20" s="79"/>
      <c r="C20" s="80">
        <v>9</v>
      </c>
      <c r="D20" s="81">
        <v>0</v>
      </c>
      <c r="E20" s="80">
        <v>4</v>
      </c>
      <c r="F20" s="12">
        <f t="shared" si="0"/>
        <v>0</v>
      </c>
      <c r="H20" s="96" t="s">
        <v>96</v>
      </c>
      <c r="I20" s="97">
        <v>8000</v>
      </c>
      <c r="J20" s="97">
        <v>7000</v>
      </c>
      <c r="K20" s="98">
        <v>0</v>
      </c>
      <c r="L20" s="41"/>
      <c r="M20" s="5">
        <f t="shared" si="1"/>
        <v>44</v>
      </c>
      <c r="N20" s="43">
        <f t="shared" si="3"/>
        <v>41944</v>
      </c>
      <c r="O20" s="52">
        <v>10581.5</v>
      </c>
      <c r="P20" s="52">
        <f t="shared" ref="P20:P22" si="6">P19</f>
        <v>9500</v>
      </c>
      <c r="Q20" s="53">
        <v>3857.3</v>
      </c>
      <c r="R20" s="52">
        <v>10653.69</v>
      </c>
      <c r="S20" s="53">
        <v>192499.73</v>
      </c>
      <c r="T20" s="53">
        <v>100532.81</v>
      </c>
      <c r="U20" s="52">
        <f t="shared" si="5"/>
        <v>24000</v>
      </c>
      <c r="V20" s="53">
        <v>32570.33</v>
      </c>
      <c r="W20" s="63">
        <v>318125.03000000003</v>
      </c>
      <c r="X20" s="68">
        <v>352769.85000000003</v>
      </c>
      <c r="Y20" s="64"/>
      <c r="Z20" s="53">
        <v>2074.4899999999998</v>
      </c>
      <c r="AA20" s="2">
        <f t="shared" ca="1" si="2"/>
        <v>0</v>
      </c>
    </row>
    <row r="21" spans="2:27" ht="18" customHeight="1" thickBot="1" x14ac:dyDescent="0.3">
      <c r="B21" s="79" t="s">
        <v>21</v>
      </c>
      <c r="C21" s="80">
        <v>0</v>
      </c>
      <c r="D21" s="81">
        <v>1500</v>
      </c>
      <c r="E21" s="80">
        <v>1</v>
      </c>
      <c r="F21" s="12">
        <f t="shared" si="0"/>
        <v>1500</v>
      </c>
      <c r="H21" s="141" t="s">
        <v>46</v>
      </c>
      <c r="I21" s="142"/>
      <c r="J21" s="143">
        <v>46419</v>
      </c>
      <c r="K21" s="144"/>
      <c r="M21" s="5">
        <f t="shared" si="1"/>
        <v>44.1</v>
      </c>
      <c r="N21" s="43">
        <f t="shared" si="3"/>
        <v>41974</v>
      </c>
      <c r="O21" s="52">
        <v>11777.92</v>
      </c>
      <c r="P21" s="52">
        <f t="shared" si="6"/>
        <v>9500</v>
      </c>
      <c r="Q21" s="53">
        <v>4054.91</v>
      </c>
      <c r="R21" s="52">
        <v>10913.53</v>
      </c>
      <c r="S21" s="53">
        <v>197194.84</v>
      </c>
      <c r="T21" s="53">
        <v>100836.85</v>
      </c>
      <c r="U21" s="52">
        <f t="shared" si="5"/>
        <v>24000</v>
      </c>
      <c r="V21" s="53">
        <v>32570.33</v>
      </c>
      <c r="W21" s="63">
        <v>324778.05000000005</v>
      </c>
      <c r="X21" s="68">
        <v>359422.87000000005</v>
      </c>
      <c r="Y21" s="64"/>
      <c r="Z21" s="53">
        <v>2074.4899999999998</v>
      </c>
      <c r="AA21" s="2">
        <f t="shared" ca="1" si="2"/>
        <v>0</v>
      </c>
    </row>
    <row r="22" spans="2:27" ht="13.5" thickBot="1" x14ac:dyDescent="0.25">
      <c r="B22" s="79" t="s">
        <v>91</v>
      </c>
      <c r="C22" s="80">
        <v>9</v>
      </c>
      <c r="D22" s="81">
        <v>150</v>
      </c>
      <c r="E22" s="80">
        <v>1</v>
      </c>
      <c r="F22" s="12">
        <f t="shared" si="0"/>
        <v>150</v>
      </c>
      <c r="H22" s="192" t="s">
        <v>103</v>
      </c>
      <c r="I22" s="193"/>
      <c r="J22" s="194">
        <f>'Projected Retirement Drawdown'!B10</f>
        <v>56.3</v>
      </c>
      <c r="K22" s="195"/>
      <c r="M22" s="5">
        <f t="shared" si="1"/>
        <v>44.2</v>
      </c>
      <c r="N22" s="43">
        <f t="shared" si="3"/>
        <v>42005</v>
      </c>
      <c r="O22" s="52">
        <v>11835.65</v>
      </c>
      <c r="P22" s="52">
        <f t="shared" si="6"/>
        <v>9500</v>
      </c>
      <c r="Q22" s="53">
        <v>4043.51</v>
      </c>
      <c r="R22" s="52">
        <v>11207.55</v>
      </c>
      <c r="S22" s="53">
        <v>202507.46</v>
      </c>
      <c r="T22" s="53">
        <v>101389.93</v>
      </c>
      <c r="U22" s="52">
        <f t="shared" si="5"/>
        <v>24000</v>
      </c>
      <c r="V22" s="53">
        <v>34699.879999999997</v>
      </c>
      <c r="W22" s="63">
        <v>330984.09999999998</v>
      </c>
      <c r="X22" s="68">
        <v>367798</v>
      </c>
      <c r="Y22" s="64"/>
      <c r="Z22" s="53">
        <v>2114.02</v>
      </c>
      <c r="AA22" s="2">
        <f t="shared" ca="1" si="2"/>
        <v>0</v>
      </c>
    </row>
    <row r="23" spans="2:27" x14ac:dyDescent="0.2">
      <c r="B23" s="79" t="s">
        <v>8</v>
      </c>
      <c r="C23" s="80"/>
      <c r="D23" s="81">
        <v>70</v>
      </c>
      <c r="E23" s="80">
        <v>12</v>
      </c>
      <c r="F23" s="12">
        <f t="shared" si="0"/>
        <v>840</v>
      </c>
      <c r="H23" s="169" t="s">
        <v>40</v>
      </c>
      <c r="I23" s="170"/>
      <c r="J23" s="291">
        <v>8.5000000000000006E-2</v>
      </c>
      <c r="K23" s="292"/>
      <c r="M23" s="5">
        <f t="shared" si="1"/>
        <v>44.3</v>
      </c>
      <c r="N23" s="43">
        <f t="shared" si="3"/>
        <v>42036</v>
      </c>
      <c r="O23" s="52">
        <v>13353.8</v>
      </c>
      <c r="P23" s="52">
        <v>11500</v>
      </c>
      <c r="Q23" s="53">
        <v>3920.33</v>
      </c>
      <c r="R23" s="52">
        <v>11179.48</v>
      </c>
      <c r="S23" s="53">
        <v>201997.98</v>
      </c>
      <c r="T23" s="53">
        <v>101007.75</v>
      </c>
      <c r="U23" s="52">
        <f t="shared" ref="U23" si="7">U22+$K$18</f>
        <v>25500</v>
      </c>
      <c r="V23" s="53">
        <v>34699.879999999997</v>
      </c>
      <c r="W23" s="63">
        <v>331459.33999999997</v>
      </c>
      <c r="X23" s="68">
        <v>368454.13999999996</v>
      </c>
      <c r="Y23" s="64"/>
      <c r="Z23" s="53">
        <v>2294.92</v>
      </c>
      <c r="AA23" s="2">
        <f t="shared" ca="1" si="2"/>
        <v>0</v>
      </c>
    </row>
    <row r="24" spans="2:27" x14ac:dyDescent="0.2">
      <c r="B24" s="79" t="s">
        <v>20</v>
      </c>
      <c r="C24" s="80"/>
      <c r="D24" s="81">
        <v>1200</v>
      </c>
      <c r="E24" s="80">
        <v>12</v>
      </c>
      <c r="F24" s="12">
        <f t="shared" si="0"/>
        <v>14400</v>
      </c>
      <c r="H24" s="171" t="s">
        <v>41</v>
      </c>
      <c r="I24" s="172"/>
      <c r="J24" s="173">
        <v>3.5000000000000003E-2</v>
      </c>
      <c r="K24" s="174"/>
      <c r="M24" s="5">
        <f t="shared" si="1"/>
        <v>44.4</v>
      </c>
      <c r="N24" s="43">
        <f t="shared" si="3"/>
        <v>42064</v>
      </c>
      <c r="O24" s="52">
        <v>14067.64</v>
      </c>
      <c r="P24" s="52">
        <v>11500</v>
      </c>
      <c r="Q24" s="53">
        <v>4144.97</v>
      </c>
      <c r="R24" s="52">
        <v>11467.44</v>
      </c>
      <c r="S24" s="66">
        <v>207201.02</v>
      </c>
      <c r="T24" s="53">
        <v>108927.02</v>
      </c>
      <c r="U24" s="52">
        <v>25500</v>
      </c>
      <c r="V24" s="53">
        <v>36314.120000000003</v>
      </c>
      <c r="W24" s="63">
        <v>345808.09</v>
      </c>
      <c r="X24" s="68">
        <v>384328.75</v>
      </c>
      <c r="Y24" s="64">
        <v>0</v>
      </c>
      <c r="Z24" s="53">
        <v>2206.54</v>
      </c>
      <c r="AA24" s="2">
        <f ca="1">IF(AND(TODAY()&lt;N25,OR(TODAY()&gt;N24,TODAY()=N24)),ROW(Z24),AA23)</f>
        <v>24</v>
      </c>
    </row>
    <row r="25" spans="2:27" x14ac:dyDescent="0.2">
      <c r="B25" s="79" t="s">
        <v>19</v>
      </c>
      <c r="C25" s="80"/>
      <c r="D25" s="81">
        <v>2000</v>
      </c>
      <c r="E25" s="80">
        <v>1</v>
      </c>
      <c r="F25" s="12">
        <f t="shared" si="0"/>
        <v>2000</v>
      </c>
      <c r="H25" s="131" t="s">
        <v>129</v>
      </c>
      <c r="I25" s="132"/>
      <c r="J25" s="133">
        <v>2000</v>
      </c>
      <c r="K25" s="134"/>
      <c r="M25" s="5">
        <f t="shared" si="1"/>
        <v>44.5</v>
      </c>
      <c r="N25" s="43">
        <f t="shared" si="3"/>
        <v>42095</v>
      </c>
      <c r="O25" s="31">
        <f t="shared" ref="O25:O88" si="8">IF(YEAR(N25)&lt;2020,O24*(1+$J$23/12)+$I$13/12,O24*(1+$J$23/12)+$J$13/12)</f>
        <v>14625.619116666667</v>
      </c>
      <c r="P25" s="31">
        <v>12000</v>
      </c>
      <c r="Q25" s="30">
        <f t="shared" ref="Q25:Q88" si="9">Q24*(1+$J$23/12)+$I$19/12</f>
        <v>4174.3302041666666</v>
      </c>
      <c r="R25" s="31">
        <f t="shared" ref="R25:R88" si="10">IF(YEAR(N25)&lt;2020,R24*(1+$J$23/12)+$I$14/12,R24*(1+$J$23/12)+$J$14/12)</f>
        <v>11548.6677</v>
      </c>
      <c r="S25" s="47">
        <f t="shared" ref="S25:S88" si="11">S24*(1+$J$23/12)+$I$15/12</f>
        <v>208668.69389166665</v>
      </c>
      <c r="T25" s="30">
        <f t="shared" ref="T25:T88" si="12">IF(MONTH(N25)=3,T24*(1+$J$23/12)+(0.05*($J$42*((1+$J$43)^(YEAR(N25)-2014)))),T24*(1+$J$23/12))</f>
        <v>109698.58639166667</v>
      </c>
      <c r="U25" s="31">
        <f t="shared" ref="U25:U87" si="13">U24</f>
        <v>25500</v>
      </c>
      <c r="V25" s="30">
        <f t="shared" ref="V25:V88" si="14">IF(YEAR(N25)&lt;2025,V24*(1+$J$23/12)+$I$16/12,V24*(1+$J$23/12)+$K$16/12)</f>
        <v>36846.345016666666</v>
      </c>
      <c r="W25" s="38">
        <f>O25+Q25+R25+S25+T25+Z25</f>
        <v>351604.73362916667</v>
      </c>
      <c r="X25" s="69">
        <f>O25+Q25+R25+S25+T25+V25+Z25</f>
        <v>388451.07864583336</v>
      </c>
      <c r="Y25">
        <f t="shared" ref="Y25:Y88" si="15">IF(N25=$J$21,ROW(N25),Y24)</f>
        <v>0</v>
      </c>
      <c r="Z25" s="30">
        <f>Z24*(1+$J$23/12)+IF(M25&lt;50,$I$20/12,$J$20/12)</f>
        <v>2888.8363249999998</v>
      </c>
      <c r="AA25" s="2">
        <f t="shared" ca="1" si="2"/>
        <v>24</v>
      </c>
    </row>
    <row r="26" spans="2:27" x14ac:dyDescent="0.2">
      <c r="B26" s="79" t="s">
        <v>13</v>
      </c>
      <c r="C26" s="80"/>
      <c r="D26" s="81">
        <v>500</v>
      </c>
      <c r="E26" s="80">
        <v>2</v>
      </c>
      <c r="F26" s="12">
        <f t="shared" si="0"/>
        <v>1000</v>
      </c>
      <c r="H26" s="135" t="s">
        <v>135</v>
      </c>
      <c r="I26" s="136"/>
      <c r="J26" s="137">
        <f>F264</f>
        <v>688800</v>
      </c>
      <c r="K26" s="138"/>
      <c r="M26" s="5">
        <f t="shared" si="1"/>
        <v>44.5</v>
      </c>
      <c r="N26" s="43">
        <f t="shared" si="3"/>
        <v>42125</v>
      </c>
      <c r="O26" s="31">
        <f t="shared" si="8"/>
        <v>15187.550585409723</v>
      </c>
      <c r="P26" s="31">
        <f t="shared" ref="P26:P33" si="16">P25</f>
        <v>12000</v>
      </c>
      <c r="Q26" s="30">
        <f t="shared" si="9"/>
        <v>4203.8983764461809</v>
      </c>
      <c r="R26" s="31">
        <f t="shared" si="10"/>
        <v>11630.470762875</v>
      </c>
      <c r="S26" s="47">
        <f t="shared" si="11"/>
        <v>210146.76380673263</v>
      </c>
      <c r="T26" s="30">
        <f t="shared" si="12"/>
        <v>110475.61804527431</v>
      </c>
      <c r="U26" s="31">
        <f t="shared" si="13"/>
        <v>25500</v>
      </c>
      <c r="V26" s="30">
        <f t="shared" si="14"/>
        <v>37382.339960534722</v>
      </c>
      <c r="W26" s="38">
        <f t="shared" ref="W26:W89" si="17">O26+Q26+R26+S26+T26+Z26</f>
        <v>355220.26715903991</v>
      </c>
      <c r="X26" s="69">
        <f t="shared" ref="X26:X89" si="18">O26+Q26+R26+S26+T26+V26+Z26</f>
        <v>392602.60711957462</v>
      </c>
      <c r="Y26">
        <f t="shared" si="15"/>
        <v>0</v>
      </c>
      <c r="Z26" s="30">
        <f t="shared" ref="Z26:Z89" si="19">Z25*(1+$J$23/12)+IF(M26&lt;50,$I$20/12,$J$20/12)</f>
        <v>3575.965582302083</v>
      </c>
      <c r="AA26" s="2">
        <f t="shared" ca="1" si="2"/>
        <v>24</v>
      </c>
    </row>
    <row r="27" spans="2:27" x14ac:dyDescent="0.2">
      <c r="B27" s="79" t="s">
        <v>14</v>
      </c>
      <c r="C27" s="80">
        <v>4</v>
      </c>
      <c r="D27" s="81">
        <v>600</v>
      </c>
      <c r="E27" s="80">
        <v>1</v>
      </c>
      <c r="F27" s="12">
        <f t="shared" si="0"/>
        <v>600</v>
      </c>
      <c r="H27" s="135" t="s">
        <v>139</v>
      </c>
      <c r="I27" s="136"/>
      <c r="J27" s="137">
        <f>'Projected Retirement Drawdown'!L10+'Projected Retirement Drawdown'!F10</f>
        <v>963202.94019861624</v>
      </c>
      <c r="K27" s="138"/>
      <c r="M27" s="5">
        <f t="shared" si="1"/>
        <v>44.6</v>
      </c>
      <c r="N27" s="43">
        <f t="shared" si="3"/>
        <v>42156</v>
      </c>
      <c r="O27" s="31">
        <f t="shared" si="8"/>
        <v>15753.462402056375</v>
      </c>
      <c r="P27" s="31">
        <f t="shared" si="16"/>
        <v>12000</v>
      </c>
      <c r="Q27" s="30">
        <f t="shared" si="9"/>
        <v>4233.6759899460076</v>
      </c>
      <c r="R27" s="31">
        <f t="shared" si="10"/>
        <v>11712.853264112031</v>
      </c>
      <c r="S27" s="47">
        <f t="shared" si="11"/>
        <v>211635.303383697</v>
      </c>
      <c r="T27" s="30">
        <f t="shared" si="12"/>
        <v>111258.153673095</v>
      </c>
      <c r="U27" s="31">
        <f t="shared" si="13"/>
        <v>25500</v>
      </c>
      <c r="V27" s="30">
        <f t="shared" si="14"/>
        <v>37922.131535255176</v>
      </c>
      <c r="W27" s="38">
        <f t="shared" si="17"/>
        <v>358861.41071808309</v>
      </c>
      <c r="X27" s="69">
        <f t="shared" si="18"/>
        <v>396783.54225333827</v>
      </c>
      <c r="Y27">
        <f t="shared" si="15"/>
        <v>0</v>
      </c>
      <c r="Z27" s="30">
        <f t="shared" si="19"/>
        <v>4267.9620051767224</v>
      </c>
      <c r="AA27" s="2">
        <f t="shared" ca="1" si="2"/>
        <v>24</v>
      </c>
    </row>
    <row r="28" spans="2:27" x14ac:dyDescent="0.2">
      <c r="B28" s="79" t="s">
        <v>9</v>
      </c>
      <c r="C28" s="80">
        <v>10</v>
      </c>
      <c r="D28" s="81">
        <v>400</v>
      </c>
      <c r="E28" s="80">
        <v>0.5</v>
      </c>
      <c r="F28" s="12">
        <f t="shared" si="0"/>
        <v>200</v>
      </c>
      <c r="H28" s="171" t="s">
        <v>69</v>
      </c>
      <c r="I28" s="172"/>
      <c r="J28" s="133">
        <v>583</v>
      </c>
      <c r="K28" s="134"/>
      <c r="M28" s="5">
        <f t="shared" si="1"/>
        <v>44.7</v>
      </c>
      <c r="N28" s="43">
        <f t="shared" si="3"/>
        <v>42186</v>
      </c>
      <c r="O28" s="31">
        <f t="shared" si="8"/>
        <v>16323.382760737608</v>
      </c>
      <c r="P28" s="31">
        <f t="shared" si="16"/>
        <v>12000</v>
      </c>
      <c r="Q28" s="30">
        <f t="shared" si="9"/>
        <v>4263.6645282081254</v>
      </c>
      <c r="R28" s="31">
        <f t="shared" si="10"/>
        <v>11795.819308066159</v>
      </c>
      <c r="S28" s="47">
        <f t="shared" si="11"/>
        <v>213134.38678266486</v>
      </c>
      <c r="T28" s="30">
        <f t="shared" si="12"/>
        <v>112046.23226161276</v>
      </c>
      <c r="U28" s="31">
        <f t="shared" si="13"/>
        <v>25500</v>
      </c>
      <c r="V28" s="30">
        <f t="shared" si="14"/>
        <v>38465.746633629897</v>
      </c>
      <c r="W28" s="38">
        <f t="shared" si="17"/>
        <v>362528.34571066959</v>
      </c>
      <c r="X28" s="69">
        <f t="shared" si="18"/>
        <v>400994.09234429948</v>
      </c>
      <c r="Y28">
        <f t="shared" si="15"/>
        <v>0</v>
      </c>
      <c r="Z28" s="30">
        <f t="shared" si="19"/>
        <v>4964.8600693800581</v>
      </c>
      <c r="AA28" s="2">
        <f t="shared" ca="1" si="2"/>
        <v>24</v>
      </c>
    </row>
    <row r="29" spans="2:27" x14ac:dyDescent="0.2">
      <c r="B29" s="79" t="s">
        <v>100</v>
      </c>
      <c r="C29" s="80"/>
      <c r="D29" s="81">
        <v>10000</v>
      </c>
      <c r="E29" s="80">
        <v>0.2</v>
      </c>
      <c r="F29" s="12">
        <f t="shared" si="0"/>
        <v>2000</v>
      </c>
      <c r="H29" s="171" t="s">
        <v>70</v>
      </c>
      <c r="I29" s="172"/>
      <c r="J29" s="175">
        <v>3500</v>
      </c>
      <c r="K29" s="176"/>
      <c r="M29" s="5">
        <f t="shared" si="1"/>
        <v>44.8</v>
      </c>
      <c r="N29" s="43">
        <f t="shared" si="3"/>
        <v>42217</v>
      </c>
      <c r="O29" s="31">
        <f t="shared" si="8"/>
        <v>16897.340055292832</v>
      </c>
      <c r="P29" s="31">
        <f t="shared" si="16"/>
        <v>12000</v>
      </c>
      <c r="Q29" s="30">
        <f t="shared" si="9"/>
        <v>4293.8654852829332</v>
      </c>
      <c r="R29" s="31">
        <f t="shared" si="10"/>
        <v>11879.37302816496</v>
      </c>
      <c r="S29" s="47">
        <f t="shared" si="11"/>
        <v>214644.08868904208</v>
      </c>
      <c r="T29" s="30">
        <f t="shared" si="12"/>
        <v>112839.89307346585</v>
      </c>
      <c r="U29" s="31">
        <f t="shared" si="13"/>
        <v>25500</v>
      </c>
      <c r="V29" s="30">
        <f t="shared" si="14"/>
        <v>39013.212338951438</v>
      </c>
      <c r="W29" s="38">
        <f t="shared" si="17"/>
        <v>366221.25482612016</v>
      </c>
      <c r="X29" s="69">
        <f t="shared" si="18"/>
        <v>405234.46716507158</v>
      </c>
      <c r="Y29">
        <f t="shared" si="15"/>
        <v>0</v>
      </c>
      <c r="Z29" s="30">
        <f t="shared" si="19"/>
        <v>5666.6944948715009</v>
      </c>
      <c r="AA29" s="2">
        <f t="shared" ca="1" si="2"/>
        <v>24</v>
      </c>
    </row>
    <row r="30" spans="2:27" x14ac:dyDescent="0.2">
      <c r="B30" s="79" t="s">
        <v>15</v>
      </c>
      <c r="C30" s="80">
        <v>7</v>
      </c>
      <c r="D30" s="81">
        <v>110</v>
      </c>
      <c r="E30" s="80">
        <v>1</v>
      </c>
      <c r="F30" s="12">
        <f t="shared" si="0"/>
        <v>110</v>
      </c>
      <c r="H30" s="139"/>
      <c r="I30" s="140"/>
      <c r="J30" s="177"/>
      <c r="K30" s="178"/>
      <c r="M30" s="5">
        <f t="shared" si="1"/>
        <v>44.9</v>
      </c>
      <c r="N30" s="43">
        <f t="shared" si="3"/>
        <v>42248</v>
      </c>
      <c r="O30" s="31">
        <f t="shared" si="8"/>
        <v>17475.36288068449</v>
      </c>
      <c r="P30" s="31">
        <f t="shared" si="16"/>
        <v>12000</v>
      </c>
      <c r="Q30" s="30">
        <f t="shared" si="9"/>
        <v>4324.2803658036873</v>
      </c>
      <c r="R30" s="31">
        <f t="shared" si="10"/>
        <v>11963.518587114462</v>
      </c>
      <c r="S30" s="47">
        <f t="shared" si="11"/>
        <v>216164.48431725614</v>
      </c>
      <c r="T30" s="30">
        <f t="shared" si="12"/>
        <v>113639.1756494029</v>
      </c>
      <c r="U30" s="31">
        <f t="shared" si="13"/>
        <v>25500</v>
      </c>
      <c r="V30" s="30">
        <f t="shared" si="14"/>
        <v>39564.555926352346</v>
      </c>
      <c r="W30" s="38">
        <f t="shared" si="17"/>
        <v>369940.32204780518</v>
      </c>
      <c r="X30" s="69">
        <f t="shared" si="18"/>
        <v>409504.87797415751</v>
      </c>
      <c r="Y30">
        <f t="shared" si="15"/>
        <v>0</v>
      </c>
      <c r="Z30" s="30">
        <f t="shared" si="19"/>
        <v>6373.5002475435076</v>
      </c>
      <c r="AA30" s="2">
        <f t="shared" ca="1" si="2"/>
        <v>24</v>
      </c>
    </row>
    <row r="31" spans="2:27" x14ac:dyDescent="0.2">
      <c r="B31" s="79" t="s">
        <v>16</v>
      </c>
      <c r="C31" s="80"/>
      <c r="D31" s="81">
        <v>250</v>
      </c>
      <c r="E31" s="80">
        <v>0.2</v>
      </c>
      <c r="F31" s="12">
        <f t="shared" si="0"/>
        <v>50</v>
      </c>
      <c r="H31" s="171" t="s">
        <v>74</v>
      </c>
      <c r="I31" s="172"/>
      <c r="J31" s="175">
        <v>700</v>
      </c>
      <c r="K31" s="176"/>
      <c r="M31" s="5">
        <f t="shared" si="1"/>
        <v>45</v>
      </c>
      <c r="N31" s="43">
        <f t="shared" si="3"/>
        <v>42278</v>
      </c>
      <c r="O31" s="31">
        <f t="shared" si="8"/>
        <v>18057.480034422671</v>
      </c>
      <c r="P31" s="31">
        <f t="shared" si="16"/>
        <v>12000</v>
      </c>
      <c r="Q31" s="30">
        <f t="shared" si="9"/>
        <v>4354.9106850614635</v>
      </c>
      <c r="R31" s="31">
        <f t="shared" si="10"/>
        <v>12048.260177106524</v>
      </c>
      <c r="S31" s="47">
        <f t="shared" si="11"/>
        <v>217695.64941450336</v>
      </c>
      <c r="T31" s="30">
        <f t="shared" si="12"/>
        <v>114444.11981025283</v>
      </c>
      <c r="U31" s="31">
        <f t="shared" si="13"/>
        <v>25500</v>
      </c>
      <c r="V31" s="30">
        <f t="shared" si="14"/>
        <v>40119.804864164005</v>
      </c>
      <c r="W31" s="38">
        <f t="shared" si="17"/>
        <v>373685.73266231042</v>
      </c>
      <c r="X31" s="69">
        <f t="shared" si="18"/>
        <v>413805.53752647439</v>
      </c>
      <c r="Y31">
        <f t="shared" si="15"/>
        <v>0</v>
      </c>
      <c r="Z31" s="30">
        <f t="shared" si="19"/>
        <v>7085.3125409636077</v>
      </c>
      <c r="AA31" s="2">
        <f t="shared" ca="1" si="2"/>
        <v>24</v>
      </c>
    </row>
    <row r="32" spans="2:27" x14ac:dyDescent="0.2">
      <c r="B32" s="11" t="s">
        <v>10</v>
      </c>
      <c r="C32" s="1"/>
      <c r="D32" s="1"/>
      <c r="E32" s="1"/>
      <c r="F32" s="12">
        <f>SUM(F10:F31)</f>
        <v>41228</v>
      </c>
      <c r="H32" s="171" t="s">
        <v>71</v>
      </c>
      <c r="I32" s="172"/>
      <c r="J32" s="175">
        <v>800</v>
      </c>
      <c r="K32" s="176"/>
      <c r="M32" s="5">
        <f t="shared" si="1"/>
        <v>45</v>
      </c>
      <c r="N32" s="43">
        <f t="shared" si="3"/>
        <v>42309</v>
      </c>
      <c r="O32" s="31">
        <f t="shared" si="8"/>
        <v>18643.720517999831</v>
      </c>
      <c r="P32" s="31">
        <f t="shared" si="16"/>
        <v>12000</v>
      </c>
      <c r="Q32" s="30">
        <f t="shared" si="9"/>
        <v>4385.7579690806488</v>
      </c>
      <c r="R32" s="31">
        <f t="shared" si="10"/>
        <v>12133.602020027694</v>
      </c>
      <c r="S32" s="47">
        <f t="shared" si="11"/>
        <v>219237.66026452277</v>
      </c>
      <c r="T32" s="30">
        <f t="shared" si="12"/>
        <v>115254.76565890879</v>
      </c>
      <c r="U32" s="31">
        <f t="shared" si="13"/>
        <v>25500</v>
      </c>
      <c r="V32" s="30">
        <f t="shared" si="14"/>
        <v>40678.98681528517</v>
      </c>
      <c r="W32" s="38">
        <f t="shared" si="17"/>
        <v>377457.67326866853</v>
      </c>
      <c r="X32" s="69">
        <f t="shared" si="18"/>
        <v>418136.6600839537</v>
      </c>
      <c r="Y32">
        <f t="shared" si="15"/>
        <v>0</v>
      </c>
      <c r="Z32" s="30">
        <f t="shared" si="19"/>
        <v>7802.1668381287673</v>
      </c>
      <c r="AA32" s="2">
        <f t="shared" ca="1" si="2"/>
        <v>24</v>
      </c>
    </row>
    <row r="33" spans="2:27" x14ac:dyDescent="0.2">
      <c r="B33" s="11"/>
      <c r="C33" s="1"/>
      <c r="D33" s="1"/>
      <c r="E33" s="1"/>
      <c r="F33" s="13"/>
      <c r="H33" s="139"/>
      <c r="I33" s="140"/>
      <c r="J33" s="177"/>
      <c r="K33" s="178"/>
      <c r="M33" s="5">
        <f t="shared" si="1"/>
        <v>45.1</v>
      </c>
      <c r="N33" s="43">
        <f t="shared" si="3"/>
        <v>42339</v>
      </c>
      <c r="O33" s="31">
        <f t="shared" si="8"/>
        <v>19234.113538335663</v>
      </c>
      <c r="P33" s="31">
        <f t="shared" si="16"/>
        <v>12000</v>
      </c>
      <c r="Q33" s="30">
        <f t="shared" si="9"/>
        <v>4416.8237546949704</v>
      </c>
      <c r="R33" s="31">
        <f t="shared" si="10"/>
        <v>12219.548367669557</v>
      </c>
      <c r="S33" s="47">
        <f t="shared" si="11"/>
        <v>220790.59369139647</v>
      </c>
      <c r="T33" s="30">
        <f t="shared" si="12"/>
        <v>116071.15358232605</v>
      </c>
      <c r="U33" s="31">
        <f t="shared" si="13"/>
        <v>25500</v>
      </c>
      <c r="V33" s="30">
        <f t="shared" si="14"/>
        <v>41242.129638560109</v>
      </c>
      <c r="W33" s="38">
        <f t="shared" si="17"/>
        <v>381256.33178765484</v>
      </c>
      <c r="X33" s="69">
        <f t="shared" si="18"/>
        <v>422498.46142621496</v>
      </c>
      <c r="Y33">
        <f t="shared" si="15"/>
        <v>0</v>
      </c>
      <c r="Z33" s="30">
        <f t="shared" si="19"/>
        <v>8524.098853232179</v>
      </c>
      <c r="AA33" s="2">
        <f t="shared" ca="1" si="2"/>
        <v>24</v>
      </c>
    </row>
    <row r="34" spans="2:27" x14ac:dyDescent="0.2">
      <c r="B34" s="11"/>
      <c r="C34" s="1"/>
      <c r="D34" s="1"/>
      <c r="E34" s="1"/>
      <c r="F34" s="14"/>
      <c r="H34" s="171" t="s">
        <v>49</v>
      </c>
      <c r="I34" s="179"/>
      <c r="J34" s="179">
        <v>62</v>
      </c>
      <c r="K34" s="180"/>
      <c r="M34" s="5">
        <f t="shared" si="1"/>
        <v>45.2</v>
      </c>
      <c r="N34" s="43">
        <f t="shared" si="3"/>
        <v>42370</v>
      </c>
      <c r="O34" s="31">
        <f t="shared" si="8"/>
        <v>19828.688509232205</v>
      </c>
      <c r="P34" s="31">
        <f>IF(M34&gt;50,MAX(P33,P22+$J$13),MAX(P33,P22+$I$13))</f>
        <v>15000</v>
      </c>
      <c r="Q34" s="30">
        <f t="shared" si="9"/>
        <v>4448.1095896240595</v>
      </c>
      <c r="R34" s="31">
        <f t="shared" si="10"/>
        <v>12306.10350194055</v>
      </c>
      <c r="S34" s="47">
        <f t="shared" si="11"/>
        <v>222354.5270633772</v>
      </c>
      <c r="T34" s="30">
        <f t="shared" si="12"/>
        <v>116893.32425353419</v>
      </c>
      <c r="U34" s="31">
        <f t="shared" si="13"/>
        <v>25500</v>
      </c>
      <c r="V34" s="30">
        <f t="shared" si="14"/>
        <v>41809.261390166575</v>
      </c>
      <c r="W34" s="38">
        <f t="shared" si="17"/>
        <v>385081.89747115073</v>
      </c>
      <c r="X34" s="69">
        <f t="shared" si="18"/>
        <v>426891.15886131732</v>
      </c>
      <c r="Y34">
        <f t="shared" si="15"/>
        <v>0</v>
      </c>
      <c r="Z34" s="30">
        <f t="shared" si="19"/>
        <v>9251.1445534425729</v>
      </c>
      <c r="AA34" s="2">
        <f t="shared" ca="1" si="2"/>
        <v>24</v>
      </c>
    </row>
    <row r="35" spans="2:27" x14ac:dyDescent="0.2">
      <c r="B35" s="11"/>
      <c r="C35" s="1"/>
      <c r="D35" s="221" t="s">
        <v>109</v>
      </c>
      <c r="E35" s="222"/>
      <c r="F35" s="13">
        <f>F32/12</f>
        <v>3435.6666666666665</v>
      </c>
      <c r="H35" s="171" t="s">
        <v>43</v>
      </c>
      <c r="I35" s="179"/>
      <c r="J35" s="175">
        <v>18204</v>
      </c>
      <c r="K35" s="176"/>
      <c r="M35" s="5">
        <f t="shared" si="1"/>
        <v>45.3</v>
      </c>
      <c r="N35" s="43">
        <f t="shared" si="3"/>
        <v>42401</v>
      </c>
      <c r="O35" s="31">
        <f t="shared" si="8"/>
        <v>20427.475052839265</v>
      </c>
      <c r="P35" s="31">
        <f t="shared" ref="P35:P98" si="20">P34</f>
        <v>15000</v>
      </c>
      <c r="Q35" s="30">
        <f t="shared" si="9"/>
        <v>4479.6170325505636</v>
      </c>
      <c r="R35" s="31">
        <f t="shared" si="10"/>
        <v>12393.271735079295</v>
      </c>
      <c r="S35" s="47">
        <f t="shared" si="11"/>
        <v>223929.5382967428</v>
      </c>
      <c r="T35" s="30">
        <f t="shared" si="12"/>
        <v>117721.31863366338</v>
      </c>
      <c r="U35" s="31">
        <f t="shared" ref="U35" si="21">U34+$K$18</f>
        <v>27000</v>
      </c>
      <c r="V35" s="30">
        <f t="shared" si="14"/>
        <v>42380.410325013589</v>
      </c>
      <c r="W35" s="38">
        <f t="shared" si="17"/>
        <v>388934.56091157143</v>
      </c>
      <c r="X35" s="69">
        <f t="shared" si="18"/>
        <v>431314.971236585</v>
      </c>
      <c r="Y35">
        <f t="shared" si="15"/>
        <v>0</v>
      </c>
      <c r="Z35" s="30">
        <f t="shared" si="19"/>
        <v>9983.3401606961233</v>
      </c>
      <c r="AA35" s="2">
        <f t="shared" ca="1" si="2"/>
        <v>24</v>
      </c>
    </row>
    <row r="36" spans="2:27" ht="13.5" thickBot="1" x14ac:dyDescent="0.25">
      <c r="B36" s="15"/>
      <c r="C36" s="16"/>
      <c r="D36" s="17"/>
      <c r="E36" s="18"/>
      <c r="F36" s="19"/>
      <c r="H36" s="171" t="s">
        <v>116</v>
      </c>
      <c r="I36" s="179"/>
      <c r="J36" s="175">
        <v>25860</v>
      </c>
      <c r="K36" s="176"/>
      <c r="M36" s="5">
        <f t="shared" si="1"/>
        <v>45.4</v>
      </c>
      <c r="N36" s="43">
        <f t="shared" si="3"/>
        <v>42430</v>
      </c>
      <c r="O36" s="31">
        <f t="shared" si="8"/>
        <v>21030.503001130208</v>
      </c>
      <c r="P36" s="31">
        <f t="shared" si="20"/>
        <v>15000</v>
      </c>
      <c r="Q36" s="30">
        <f t="shared" si="9"/>
        <v>4511.3476531977967</v>
      </c>
      <c r="R36" s="31">
        <f t="shared" si="10"/>
        <v>12481.05740986944</v>
      </c>
      <c r="S36" s="47">
        <f t="shared" si="11"/>
        <v>225515.70585967807</v>
      </c>
      <c r="T36" s="30">
        <f t="shared" si="12"/>
        <v>122768.54066773516</v>
      </c>
      <c r="U36" s="31">
        <f t="shared" ref="U36" si="22">U35</f>
        <v>27000</v>
      </c>
      <c r="V36" s="30">
        <f t="shared" si="14"/>
        <v>42955.604898149104</v>
      </c>
      <c r="W36" s="38">
        <f t="shared" si="17"/>
        <v>397027.87674511172</v>
      </c>
      <c r="X36" s="69">
        <f t="shared" si="18"/>
        <v>439983.48164326081</v>
      </c>
      <c r="Y36">
        <f t="shared" si="15"/>
        <v>0</v>
      </c>
      <c r="Z36" s="30">
        <f t="shared" si="19"/>
        <v>10720.722153501054</v>
      </c>
      <c r="AA36" s="2">
        <f t="shared" ca="1" si="2"/>
        <v>24</v>
      </c>
    </row>
    <row r="37" spans="2:27" x14ac:dyDescent="0.2">
      <c r="H37" s="171" t="s">
        <v>44</v>
      </c>
      <c r="I37" s="179"/>
      <c r="J37" s="175">
        <v>32064</v>
      </c>
      <c r="K37" s="176"/>
      <c r="M37" s="5">
        <f t="shared" si="1"/>
        <v>45.5</v>
      </c>
      <c r="N37" s="43">
        <f t="shared" si="3"/>
        <v>42461</v>
      </c>
      <c r="O37" s="31">
        <f t="shared" si="8"/>
        <v>21637.802397388212</v>
      </c>
      <c r="P37" s="31">
        <f t="shared" si="20"/>
        <v>15000</v>
      </c>
      <c r="Q37" s="30">
        <f t="shared" si="9"/>
        <v>4543.3030324079482</v>
      </c>
      <c r="R37" s="31">
        <f t="shared" si="10"/>
        <v>12569.464899856015</v>
      </c>
      <c r="S37" s="47">
        <f t="shared" si="11"/>
        <v>227113.10877618412</v>
      </c>
      <c r="T37" s="30">
        <f t="shared" si="12"/>
        <v>123638.15116413162</v>
      </c>
      <c r="U37" s="31">
        <f t="shared" si="13"/>
        <v>27000</v>
      </c>
      <c r="V37" s="30">
        <f t="shared" si="14"/>
        <v>43534.873766177661</v>
      </c>
      <c r="W37" s="38">
        <f t="shared" si="17"/>
        <v>400965.15753872291</v>
      </c>
      <c r="X37" s="69">
        <f t="shared" si="18"/>
        <v>444500.03130490059</v>
      </c>
      <c r="Y37">
        <f t="shared" si="15"/>
        <v>0</v>
      </c>
      <c r="Z37" s="30">
        <f t="shared" si="19"/>
        <v>11463.32726875502</v>
      </c>
      <c r="AA37" s="2">
        <f t="shared" ca="1" si="2"/>
        <v>24</v>
      </c>
    </row>
    <row r="38" spans="2:27" ht="13.5" thickBot="1" x14ac:dyDescent="0.25">
      <c r="H38" s="171" t="s">
        <v>45</v>
      </c>
      <c r="I38" s="179"/>
      <c r="J38" s="173">
        <v>0.8</v>
      </c>
      <c r="K38" s="174"/>
      <c r="M38" s="5">
        <f t="shared" si="1"/>
        <v>45.5</v>
      </c>
      <c r="N38" s="43">
        <f t="shared" si="3"/>
        <v>42491</v>
      </c>
      <c r="O38" s="31">
        <f t="shared" si="8"/>
        <v>22249.403497703042</v>
      </c>
      <c r="P38" s="31">
        <f t="shared" si="20"/>
        <v>15000</v>
      </c>
      <c r="Q38" s="30">
        <f t="shared" si="9"/>
        <v>4575.4847622208381</v>
      </c>
      <c r="R38" s="31">
        <f t="shared" si="10"/>
        <v>12658.498609563329</v>
      </c>
      <c r="S38" s="47">
        <f t="shared" si="11"/>
        <v>228721.82663001542</v>
      </c>
      <c r="T38" s="30">
        <f t="shared" si="12"/>
        <v>124513.92140154421</v>
      </c>
      <c r="U38" s="31">
        <f t="shared" si="13"/>
        <v>27000</v>
      </c>
      <c r="V38" s="30">
        <f t="shared" si="14"/>
        <v>44118.245788688087</v>
      </c>
      <c r="W38" s="38">
        <f t="shared" si="17"/>
        <v>404930.32740462222</v>
      </c>
      <c r="X38" s="69">
        <f t="shared" si="18"/>
        <v>449048.57319331029</v>
      </c>
      <c r="Y38">
        <f t="shared" si="15"/>
        <v>0</v>
      </c>
      <c r="Z38" s="30">
        <f t="shared" si="19"/>
        <v>12211.192503575367</v>
      </c>
      <c r="AA38" s="2">
        <f t="shared" ca="1" si="2"/>
        <v>24</v>
      </c>
    </row>
    <row r="39" spans="2:27" ht="13.5" thickBot="1" x14ac:dyDescent="0.25">
      <c r="B39" s="223" t="s">
        <v>52</v>
      </c>
      <c r="C39" s="224"/>
      <c r="D39" s="224"/>
      <c r="E39" s="225"/>
      <c r="F39" s="302">
        <f ca="1">'Projected Retirement Drawdown'!Y10*12*25</f>
        <v>1557458.4651268935</v>
      </c>
      <c r="H39" s="171" t="s">
        <v>47</v>
      </c>
      <c r="I39" s="179"/>
      <c r="J39" s="175">
        <v>2200</v>
      </c>
      <c r="K39" s="176"/>
      <c r="M39" s="5">
        <f t="shared" si="1"/>
        <v>45.6</v>
      </c>
      <c r="N39" s="43">
        <f t="shared" si="3"/>
        <v>42522</v>
      </c>
      <c r="O39" s="31">
        <f t="shared" si="8"/>
        <v>22865.336772478437</v>
      </c>
      <c r="P39" s="31">
        <f t="shared" si="20"/>
        <v>15000</v>
      </c>
      <c r="Q39" s="30">
        <f t="shared" si="9"/>
        <v>4607.8944459532358</v>
      </c>
      <c r="R39" s="31">
        <f t="shared" si="10"/>
        <v>12748.162974714402</v>
      </c>
      <c r="S39" s="47">
        <f t="shared" si="11"/>
        <v>230341.93956864471</v>
      </c>
      <c r="T39" s="30">
        <f t="shared" si="12"/>
        <v>125395.89501147182</v>
      </c>
      <c r="U39" s="31">
        <f t="shared" si="13"/>
        <v>27000</v>
      </c>
      <c r="V39" s="30">
        <f t="shared" si="14"/>
        <v>44705.750029691291</v>
      </c>
      <c r="W39" s="38">
        <f t="shared" si="17"/>
        <v>408923.58389040496</v>
      </c>
      <c r="X39" s="69">
        <f t="shared" si="18"/>
        <v>453629.33392009622</v>
      </c>
      <c r="Y39">
        <f t="shared" si="15"/>
        <v>0</v>
      </c>
      <c r="Z39" s="30">
        <f t="shared" si="19"/>
        <v>12964.355117142359</v>
      </c>
      <c r="AA39" s="2">
        <f t="shared" ca="1" si="2"/>
        <v>24</v>
      </c>
    </row>
    <row r="40" spans="2:27" ht="13.5" thickBot="1" x14ac:dyDescent="0.25">
      <c r="B40" s="226" t="s">
        <v>114</v>
      </c>
      <c r="C40" s="227"/>
      <c r="D40" s="227"/>
      <c r="E40" s="227"/>
      <c r="F40" s="73">
        <f>'Projected Retirement Drawdown'!W10-'Projected Retirement Drawdown'!P10-'Projected Retirement Drawdown'!R10</f>
        <v>1317606.750660429</v>
      </c>
      <c r="H40" s="131" t="s">
        <v>72</v>
      </c>
      <c r="I40" s="187"/>
      <c r="J40" s="175">
        <v>3100</v>
      </c>
      <c r="K40" s="176"/>
      <c r="M40" s="5">
        <f t="shared" si="1"/>
        <v>45.7</v>
      </c>
      <c r="N40" s="43">
        <f t="shared" si="3"/>
        <v>42552</v>
      </c>
      <c r="O40" s="31">
        <f t="shared" si="8"/>
        <v>23485.632907950159</v>
      </c>
      <c r="P40" s="31">
        <f t="shared" si="20"/>
        <v>15000</v>
      </c>
      <c r="Q40" s="30">
        <f t="shared" si="9"/>
        <v>4640.5336982787376</v>
      </c>
      <c r="R40" s="31">
        <f t="shared" si="10"/>
        <v>12838.462462451962</v>
      </c>
      <c r="S40" s="47">
        <f t="shared" si="11"/>
        <v>231973.52830725594</v>
      </c>
      <c r="T40" s="30">
        <f t="shared" si="12"/>
        <v>126284.11593446974</v>
      </c>
      <c r="U40" s="31">
        <f t="shared" si="13"/>
        <v>27000</v>
      </c>
      <c r="V40" s="30">
        <f t="shared" si="14"/>
        <v>45297.415759068273</v>
      </c>
      <c r="W40" s="38">
        <f t="shared" si="17"/>
        <v>412945.12594296201</v>
      </c>
      <c r="X40" s="69">
        <f t="shared" si="18"/>
        <v>458242.54170203028</v>
      </c>
      <c r="Y40">
        <f t="shared" si="15"/>
        <v>0</v>
      </c>
      <c r="Z40" s="30">
        <f t="shared" si="19"/>
        <v>13722.85263255545</v>
      </c>
      <c r="AA40" s="2">
        <f t="shared" ca="1" si="2"/>
        <v>24</v>
      </c>
    </row>
    <row r="41" spans="2:27" ht="12.75" customHeight="1" thickBot="1" x14ac:dyDescent="0.25">
      <c r="B41" s="228" t="s">
        <v>115</v>
      </c>
      <c r="C41" s="229"/>
      <c r="D41" s="229"/>
      <c r="E41" s="229"/>
      <c r="F41" s="74">
        <f>'Projected Retirement Drawdown'!W10</f>
        <v>1530816.2093123586</v>
      </c>
      <c r="H41" s="171" t="s">
        <v>48</v>
      </c>
      <c r="I41" s="179"/>
      <c r="J41" s="133">
        <v>6700</v>
      </c>
      <c r="K41" s="134"/>
      <c r="M41" s="5">
        <f t="shared" si="1"/>
        <v>45.8</v>
      </c>
      <c r="N41" s="43">
        <f t="shared" si="3"/>
        <v>42583</v>
      </c>
      <c r="O41" s="31">
        <f t="shared" si="8"/>
        <v>24110.322807714805</v>
      </c>
      <c r="P41" s="31">
        <f t="shared" si="20"/>
        <v>15000</v>
      </c>
      <c r="Q41" s="30">
        <f t="shared" si="9"/>
        <v>4673.4041453082118</v>
      </c>
      <c r="R41" s="31">
        <f t="shared" si="10"/>
        <v>12929.401571560997</v>
      </c>
      <c r="S41" s="47">
        <f t="shared" si="11"/>
        <v>233616.67413276568</v>
      </c>
      <c r="T41" s="30">
        <f t="shared" si="12"/>
        <v>127178.62842233889</v>
      </c>
      <c r="U41" s="31">
        <f t="shared" si="13"/>
        <v>27000</v>
      </c>
      <c r="V41" s="30">
        <f t="shared" si="14"/>
        <v>45893.272454028338</v>
      </c>
      <c r="W41" s="38">
        <f t="shared" si="17"/>
        <v>416995.15391839133</v>
      </c>
      <c r="X41" s="69">
        <f t="shared" si="18"/>
        <v>462888.42637241969</v>
      </c>
      <c r="Y41">
        <f t="shared" si="15"/>
        <v>0</v>
      </c>
      <c r="Z41" s="30">
        <f t="shared" si="19"/>
        <v>14486.722838702717</v>
      </c>
      <c r="AA41" s="2">
        <f t="shared" ca="1" si="2"/>
        <v>24</v>
      </c>
    </row>
    <row r="42" spans="2:27" ht="12.75" customHeight="1" x14ac:dyDescent="0.2">
      <c r="H42" s="171" t="s">
        <v>120</v>
      </c>
      <c r="I42" s="179"/>
      <c r="J42" s="175">
        <v>81795</v>
      </c>
      <c r="K42" s="176"/>
      <c r="M42" s="5">
        <f t="shared" ref="M42:M73" si="23">(INT((((YEAR(N42)-YEAR(DATE(1970,10,16)))*12+MONTH(N42)-MONTH(DATE(1970,10,16)))/12)*10))/10</f>
        <v>45.9</v>
      </c>
      <c r="N42" s="43">
        <f t="shared" si="3"/>
        <v>42614</v>
      </c>
      <c r="O42" s="31">
        <f t="shared" si="8"/>
        <v>24739.43759426945</v>
      </c>
      <c r="P42" s="31">
        <f t="shared" si="20"/>
        <v>15000</v>
      </c>
      <c r="Q42" s="30">
        <f t="shared" si="9"/>
        <v>4706.5074246708118</v>
      </c>
      <c r="R42" s="31">
        <f t="shared" si="10"/>
        <v>13020.984832692888</v>
      </c>
      <c r="S42" s="47">
        <f t="shared" si="11"/>
        <v>235271.45890787276</v>
      </c>
      <c r="T42" s="30">
        <f t="shared" si="12"/>
        <v>128079.47704033046</v>
      </c>
      <c r="U42" s="31">
        <f t="shared" si="13"/>
        <v>27000</v>
      </c>
      <c r="V42" s="30">
        <f t="shared" si="14"/>
        <v>46493.349800577707</v>
      </c>
      <c r="W42" s="38">
        <f t="shared" si="17"/>
        <v>421073.86959197995</v>
      </c>
      <c r="X42" s="69">
        <f t="shared" si="18"/>
        <v>467567.21939255763</v>
      </c>
      <c r="Y42">
        <f t="shared" si="15"/>
        <v>0</v>
      </c>
      <c r="Z42" s="30">
        <f t="shared" si="19"/>
        <v>15256.003792143527</v>
      </c>
      <c r="AA42" s="2">
        <f t="shared" ca="1" si="2"/>
        <v>24</v>
      </c>
    </row>
    <row r="43" spans="2:27" ht="12.75" customHeight="1" thickBot="1" x14ac:dyDescent="0.25">
      <c r="H43" s="171" t="s">
        <v>121</v>
      </c>
      <c r="I43" s="179"/>
      <c r="J43" s="173">
        <v>1.4999999999999999E-2</v>
      </c>
      <c r="K43" s="174"/>
      <c r="M43" s="5">
        <f t="shared" si="23"/>
        <v>46</v>
      </c>
      <c r="N43" s="43">
        <f t="shared" ref="N43:N74" si="24">DATE(YEAR(N42),MONTH(N42)+1,1)</f>
        <v>42644</v>
      </c>
      <c r="O43" s="31">
        <f t="shared" si="8"/>
        <v>25373.008610562189</v>
      </c>
      <c r="P43" s="31">
        <f t="shared" si="20"/>
        <v>15000</v>
      </c>
      <c r="Q43" s="30">
        <f t="shared" si="9"/>
        <v>4739.8451855955636</v>
      </c>
      <c r="R43" s="31">
        <f t="shared" si="10"/>
        <v>13113.216808591129</v>
      </c>
      <c r="S43" s="47">
        <f t="shared" si="11"/>
        <v>236937.96507513686</v>
      </c>
      <c r="T43" s="30">
        <f t="shared" si="12"/>
        <v>128986.70666936613</v>
      </c>
      <c r="U43" s="31">
        <f t="shared" si="13"/>
        <v>27000</v>
      </c>
      <c r="V43" s="30">
        <f t="shared" si="14"/>
        <v>47097.677694998463</v>
      </c>
      <c r="W43" s="38">
        <f t="shared" si="17"/>
        <v>425181.47616825643</v>
      </c>
      <c r="X43" s="69">
        <f t="shared" si="18"/>
        <v>472279.15386325488</v>
      </c>
      <c r="Y43">
        <f t="shared" si="15"/>
        <v>0</v>
      </c>
      <c r="Z43" s="30">
        <f t="shared" si="19"/>
        <v>16030.733819004543</v>
      </c>
      <c r="AA43" s="2">
        <f t="shared" ca="1" si="2"/>
        <v>24</v>
      </c>
    </row>
    <row r="44" spans="2:27" ht="12.75" customHeight="1" x14ac:dyDescent="0.2">
      <c r="B44" s="230" t="str">
        <f>"Total Account Balances at age  "&amp;TEXT('Projected Retirement Drawdown'!B505,"###.#")</f>
        <v>Total Account Balances at age  97.5</v>
      </c>
      <c r="C44" s="231"/>
      <c r="D44" s="232"/>
      <c r="E44" s="237">
        <f ca="1">'Projected Retirement Drawdown'!W505</f>
        <v>5605822.4944224739</v>
      </c>
      <c r="F44" s="238"/>
      <c r="H44" s="188" t="s">
        <v>94</v>
      </c>
      <c r="I44" s="196"/>
      <c r="J44" s="197">
        <v>0.81</v>
      </c>
      <c r="K44" s="198"/>
      <c r="M44" s="5">
        <f t="shared" si="23"/>
        <v>46</v>
      </c>
      <c r="N44" s="43">
        <f t="shared" si="24"/>
        <v>42675</v>
      </c>
      <c r="O44" s="31">
        <f t="shared" si="8"/>
        <v>26011.067421553671</v>
      </c>
      <c r="P44" s="31">
        <f t="shared" si="20"/>
        <v>15000</v>
      </c>
      <c r="Q44" s="30">
        <f t="shared" si="9"/>
        <v>4773.4190889935326</v>
      </c>
      <c r="R44" s="31">
        <f t="shared" si="10"/>
        <v>13206.102094318649</v>
      </c>
      <c r="S44" s="47">
        <f t="shared" si="11"/>
        <v>238616.27566108573</v>
      </c>
      <c r="T44" s="30">
        <f t="shared" si="12"/>
        <v>129900.36250827415</v>
      </c>
      <c r="U44" s="31">
        <f t="shared" si="13"/>
        <v>27000</v>
      </c>
      <c r="V44" s="30">
        <f t="shared" si="14"/>
        <v>47706.286245338037</v>
      </c>
      <c r="W44" s="38">
        <f t="shared" si="17"/>
        <v>429318.17829111486</v>
      </c>
      <c r="X44" s="69">
        <f t="shared" si="18"/>
        <v>477024.4645364529</v>
      </c>
      <c r="Y44">
        <f t="shared" si="15"/>
        <v>0</v>
      </c>
      <c r="Z44" s="30">
        <f t="shared" si="19"/>
        <v>16810.951516889159</v>
      </c>
      <c r="AA44" s="2">
        <f t="shared" ca="1" si="2"/>
        <v>24</v>
      </c>
    </row>
    <row r="45" spans="2:27" x14ac:dyDescent="0.2">
      <c r="B45" s="233"/>
      <c r="C45" s="234"/>
      <c r="D45" s="235"/>
      <c r="E45" s="239"/>
      <c r="F45" s="240"/>
      <c r="H45" s="188" t="s">
        <v>102</v>
      </c>
      <c r="I45" s="189"/>
      <c r="J45" s="190">
        <v>0.46</v>
      </c>
      <c r="K45" s="191"/>
      <c r="M45" s="5">
        <f t="shared" si="23"/>
        <v>46.1</v>
      </c>
      <c r="N45" s="43">
        <f t="shared" si="24"/>
        <v>42705</v>
      </c>
      <c r="O45" s="31">
        <f t="shared" si="8"/>
        <v>26653.645815789674</v>
      </c>
      <c r="P45" s="31">
        <f t="shared" si="20"/>
        <v>15000</v>
      </c>
      <c r="Q45" s="30">
        <f t="shared" si="9"/>
        <v>4807.2308075405699</v>
      </c>
      <c r="R45" s="31">
        <f t="shared" si="10"/>
        <v>13299.645317486738</v>
      </c>
      <c r="S45" s="47">
        <f t="shared" si="11"/>
        <v>240306.47428035174</v>
      </c>
      <c r="T45" s="30">
        <f t="shared" si="12"/>
        <v>130820.4900760411</v>
      </c>
      <c r="U45" s="31">
        <f t="shared" si="13"/>
        <v>27000</v>
      </c>
      <c r="V45" s="30">
        <f t="shared" si="14"/>
        <v>48319.205772909183</v>
      </c>
      <c r="W45" s="38">
        <f t="shared" si="17"/>
        <v>433484.18205401028</v>
      </c>
      <c r="X45" s="69">
        <f t="shared" si="18"/>
        <v>481803.38782691944</v>
      </c>
      <c r="Y45">
        <f t="shared" si="15"/>
        <v>0</v>
      </c>
      <c r="Z45" s="30">
        <f t="shared" si="19"/>
        <v>17596.695756800458</v>
      </c>
      <c r="AA45" s="2">
        <f t="shared" ca="1" si="2"/>
        <v>24</v>
      </c>
    </row>
    <row r="46" spans="2:27" ht="13.5" thickBot="1" x14ac:dyDescent="0.25">
      <c r="B46" s="236"/>
      <c r="C46" s="234"/>
      <c r="D46" s="235"/>
      <c r="E46" s="241"/>
      <c r="F46" s="242"/>
      <c r="H46" s="128" t="s">
        <v>128</v>
      </c>
      <c r="I46" s="129"/>
      <c r="J46" s="190">
        <v>0.55000000000000004</v>
      </c>
      <c r="K46" s="130"/>
      <c r="M46" s="5">
        <f t="shared" si="23"/>
        <v>46.2</v>
      </c>
      <c r="N46" s="43">
        <f t="shared" si="24"/>
        <v>42736</v>
      </c>
      <c r="O46" s="31">
        <f t="shared" si="8"/>
        <v>27300.77580698485</v>
      </c>
      <c r="P46" s="31">
        <f t="shared" ref="P46" si="25">IF(M46&gt;50,MAX(P45,P34+$J$13),MAX(P45,P34+$I$13))</f>
        <v>20500</v>
      </c>
      <c r="Q46" s="30">
        <f t="shared" si="9"/>
        <v>4841.282025760649</v>
      </c>
      <c r="R46" s="31">
        <f t="shared" si="10"/>
        <v>13393.851138485603</v>
      </c>
      <c r="S46" s="47">
        <f t="shared" si="11"/>
        <v>242008.64513983758</v>
      </c>
      <c r="T46" s="30">
        <f t="shared" si="12"/>
        <v>131747.13521407972</v>
      </c>
      <c r="U46" s="31">
        <f t="shared" si="13"/>
        <v>27000</v>
      </c>
      <c r="V46" s="30">
        <f t="shared" si="14"/>
        <v>48936.466813800624</v>
      </c>
      <c r="W46" s="38">
        <f t="shared" si="17"/>
        <v>437679.69501022616</v>
      </c>
      <c r="X46" s="69">
        <f t="shared" si="18"/>
        <v>486616.16182402679</v>
      </c>
      <c r="Y46">
        <f t="shared" si="15"/>
        <v>0</v>
      </c>
      <c r="Z46" s="30">
        <f t="shared" si="19"/>
        <v>18388.005685077795</v>
      </c>
      <c r="AA46" s="2">
        <f t="shared" ca="1" si="2"/>
        <v>24</v>
      </c>
    </row>
    <row r="47" spans="2:27" ht="13.5" thickBot="1" x14ac:dyDescent="0.25">
      <c r="C47" s="243" t="s">
        <v>108</v>
      </c>
      <c r="D47" s="244"/>
      <c r="E47" s="217">
        <f ca="1">'Projected Retirement Drawdown'!N505+'Projected Retirement Drawdown'!L505+'Projected Retirement Drawdown'!F505</f>
        <v>0</v>
      </c>
      <c r="F47" s="218"/>
      <c r="H47" s="266" t="s">
        <v>150</v>
      </c>
      <c r="I47" s="276" t="s">
        <v>76</v>
      </c>
      <c r="J47" s="29" t="s">
        <v>84</v>
      </c>
      <c r="K47" s="287" t="s">
        <v>157</v>
      </c>
      <c r="M47" s="5">
        <f t="shared" si="23"/>
        <v>46.3</v>
      </c>
      <c r="N47" s="43">
        <f t="shared" si="24"/>
        <v>42767</v>
      </c>
      <c r="O47" s="31">
        <f t="shared" si="8"/>
        <v>27952.489635617658</v>
      </c>
      <c r="P47" s="31">
        <f t="shared" si="20"/>
        <v>20500</v>
      </c>
      <c r="Q47" s="30">
        <f t="shared" si="9"/>
        <v>4875.5744401097872</v>
      </c>
      <c r="R47" s="31">
        <f t="shared" si="10"/>
        <v>13488.724250716543</v>
      </c>
      <c r="S47" s="47">
        <f t="shared" si="11"/>
        <v>243722.87304291144</v>
      </c>
      <c r="T47" s="30">
        <f t="shared" si="12"/>
        <v>132680.34408851279</v>
      </c>
      <c r="U47" s="31">
        <f t="shared" ref="U47" si="26">U46+$K$18</f>
        <v>28500</v>
      </c>
      <c r="V47" s="30">
        <f t="shared" si="14"/>
        <v>49558.100120398376</v>
      </c>
      <c r="W47" s="38">
        <f t="shared" si="17"/>
        <v>441904.92618321534</v>
      </c>
      <c r="X47" s="69">
        <f t="shared" si="18"/>
        <v>491463.02630361367</v>
      </c>
      <c r="Y47">
        <f t="shared" si="15"/>
        <v>0</v>
      </c>
      <c r="Z47" s="30">
        <f t="shared" si="19"/>
        <v>19184.920725347096</v>
      </c>
      <c r="AA47" s="2">
        <f t="shared" ca="1" si="2"/>
        <v>24</v>
      </c>
    </row>
    <row r="48" spans="2:27" ht="13.5" thickBot="1" x14ac:dyDescent="0.25">
      <c r="C48" s="105" t="s">
        <v>107</v>
      </c>
      <c r="D48" s="203"/>
      <c r="E48" s="210">
        <f ca="1">'Projected Retirement Drawdown'!D505+'Projected Retirement Drawdown'!J505</f>
        <v>1444225.4301242221</v>
      </c>
      <c r="F48" s="211"/>
      <c r="H48" s="274" t="s">
        <v>81</v>
      </c>
      <c r="I48" s="275">
        <v>0.1</v>
      </c>
      <c r="J48" s="85">
        <v>9225</v>
      </c>
      <c r="K48" s="286">
        <f>I48*J48</f>
        <v>922.5</v>
      </c>
      <c r="M48" s="5">
        <f t="shared" si="23"/>
        <v>46.4</v>
      </c>
      <c r="N48" s="43">
        <f t="shared" si="24"/>
        <v>42795</v>
      </c>
      <c r="O48" s="31">
        <f t="shared" si="8"/>
        <v>28608.819770536615</v>
      </c>
      <c r="P48" s="31">
        <f t="shared" si="20"/>
        <v>20500</v>
      </c>
      <c r="Q48" s="30">
        <f t="shared" si="9"/>
        <v>4910.109759060565</v>
      </c>
      <c r="R48" s="31">
        <f t="shared" si="10"/>
        <v>13584.269380825785</v>
      </c>
      <c r="S48" s="47">
        <f t="shared" si="11"/>
        <v>245449.24339363206</v>
      </c>
      <c r="T48" s="30">
        <f t="shared" si="12"/>
        <v>137896.72632662934</v>
      </c>
      <c r="U48" s="31">
        <f t="shared" ref="U48" si="27">U47</f>
        <v>28500</v>
      </c>
      <c r="V48" s="30">
        <f t="shared" si="14"/>
        <v>50184.136662917866</v>
      </c>
      <c r="W48" s="38">
        <f t="shared" si="17"/>
        <v>450436.64921116934</v>
      </c>
      <c r="X48" s="69">
        <f t="shared" si="18"/>
        <v>500620.78587408719</v>
      </c>
      <c r="Y48">
        <f t="shared" si="15"/>
        <v>0</v>
      </c>
      <c r="Z48" s="30">
        <f t="shared" si="19"/>
        <v>19987.480580484971</v>
      </c>
      <c r="AA48" s="2">
        <f t="shared" ca="1" si="2"/>
        <v>24</v>
      </c>
    </row>
    <row r="49" spans="2:27" ht="13.5" thickBot="1" x14ac:dyDescent="0.25">
      <c r="C49" s="181" t="s">
        <v>29</v>
      </c>
      <c r="D49" s="182"/>
      <c r="E49" s="219">
        <f ca="1">'Projected Retirement Drawdown'!R505</f>
        <v>3013174.3068056493</v>
      </c>
      <c r="F49" s="220"/>
      <c r="H49" s="78" t="s">
        <v>80</v>
      </c>
      <c r="I49" s="250">
        <v>0.15</v>
      </c>
      <c r="J49" s="89">
        <v>37450</v>
      </c>
      <c r="K49" s="286">
        <f>(J49-J48)*I49+K48</f>
        <v>5156.25</v>
      </c>
      <c r="M49" s="5">
        <f t="shared" si="23"/>
        <v>46.5</v>
      </c>
      <c r="N49" s="43">
        <f t="shared" si="24"/>
        <v>42826</v>
      </c>
      <c r="O49" s="31">
        <f t="shared" si="8"/>
        <v>29269.798910577916</v>
      </c>
      <c r="P49" s="31">
        <f t="shared" si="20"/>
        <v>20500</v>
      </c>
      <c r="Q49" s="30">
        <f t="shared" si="9"/>
        <v>4944.8897031872439</v>
      </c>
      <c r="R49" s="31">
        <f t="shared" si="10"/>
        <v>13680.491288939967</v>
      </c>
      <c r="S49" s="47">
        <f t="shared" si="11"/>
        <v>247187.84220100363</v>
      </c>
      <c r="T49" s="30">
        <f t="shared" si="12"/>
        <v>138873.4948047763</v>
      </c>
      <c r="U49" s="31">
        <f t="shared" si="13"/>
        <v>28500</v>
      </c>
      <c r="V49" s="30">
        <f t="shared" si="14"/>
        <v>50814.60763094687</v>
      </c>
      <c r="W49" s="38">
        <f t="shared" si="17"/>
        <v>454752.24214308185</v>
      </c>
      <c r="X49" s="69">
        <f t="shared" si="18"/>
        <v>505566.8497740287</v>
      </c>
      <c r="Y49">
        <f t="shared" si="15"/>
        <v>0</v>
      </c>
      <c r="Z49" s="30">
        <f t="shared" si="19"/>
        <v>20795.725234596739</v>
      </c>
      <c r="AA49" s="2">
        <f t="shared" ca="1" si="2"/>
        <v>24</v>
      </c>
    </row>
    <row r="50" spans="2:27" ht="13.5" thickBot="1" x14ac:dyDescent="0.25">
      <c r="C50" s="105" t="s">
        <v>95</v>
      </c>
      <c r="D50" s="106"/>
      <c r="E50" s="210">
        <f ca="1">'Projected Retirement Drawdown'!U505</f>
        <v>1148422.7574926026</v>
      </c>
      <c r="F50" s="211"/>
      <c r="H50" s="78" t="s">
        <v>82</v>
      </c>
      <c r="I50" s="250">
        <v>0.25</v>
      </c>
      <c r="J50" s="89">
        <v>90750</v>
      </c>
      <c r="K50" s="286">
        <f t="shared" ref="K50:K51" si="28">(J50-J49)*I50+K49</f>
        <v>18481.25</v>
      </c>
      <c r="M50" s="5">
        <f t="shared" si="23"/>
        <v>46.5</v>
      </c>
      <c r="N50" s="43">
        <f t="shared" si="24"/>
        <v>42856</v>
      </c>
      <c r="O50" s="31">
        <f t="shared" si="8"/>
        <v>29935.45998619451</v>
      </c>
      <c r="P50" s="31">
        <f t="shared" si="20"/>
        <v>20500</v>
      </c>
      <c r="Q50" s="30">
        <f t="shared" si="9"/>
        <v>4979.9160052514871</v>
      </c>
      <c r="R50" s="31">
        <f t="shared" si="10"/>
        <v>13777.394768903292</v>
      </c>
      <c r="S50" s="47">
        <f t="shared" si="11"/>
        <v>248938.75608326073</v>
      </c>
      <c r="T50" s="30">
        <f t="shared" si="12"/>
        <v>139857.18205964347</v>
      </c>
      <c r="U50" s="31">
        <f t="shared" si="13"/>
        <v>28500</v>
      </c>
      <c r="V50" s="30">
        <f t="shared" si="14"/>
        <v>51449.544434999407</v>
      </c>
      <c r="W50" s="38">
        <f t="shared" si="17"/>
        <v>459098.40385826188</v>
      </c>
      <c r="X50" s="69">
        <f t="shared" si="18"/>
        <v>510547.94829326129</v>
      </c>
      <c r="Y50">
        <f t="shared" si="15"/>
        <v>0</v>
      </c>
      <c r="Z50" s="30">
        <f t="shared" si="19"/>
        <v>21609.694955008468</v>
      </c>
      <c r="AA50" s="2">
        <f t="shared" ca="1" si="2"/>
        <v>24</v>
      </c>
    </row>
    <row r="51" spans="2:27" ht="13.5" thickBot="1" x14ac:dyDescent="0.25">
      <c r="H51" s="78" t="s">
        <v>83</v>
      </c>
      <c r="I51" s="250">
        <v>0.28000000000000003</v>
      </c>
      <c r="J51" s="89">
        <v>189300</v>
      </c>
      <c r="K51" s="288">
        <f t="shared" si="28"/>
        <v>46075.25</v>
      </c>
      <c r="M51" s="5">
        <f t="shared" si="23"/>
        <v>46.6</v>
      </c>
      <c r="N51" s="43">
        <f t="shared" si="24"/>
        <v>42887</v>
      </c>
      <c r="O51" s="31">
        <f t="shared" si="8"/>
        <v>30605.836161096719</v>
      </c>
      <c r="P51" s="31">
        <f t="shared" si="20"/>
        <v>20500</v>
      </c>
      <c r="Q51" s="30">
        <f t="shared" si="9"/>
        <v>5015.1904102886856</v>
      </c>
      <c r="R51" s="31">
        <f t="shared" si="10"/>
        <v>13874.984648516356</v>
      </c>
      <c r="S51" s="47">
        <f t="shared" si="11"/>
        <v>250702.07227218381</v>
      </c>
      <c r="T51" s="30">
        <f t="shared" si="12"/>
        <v>140847.83709923262</v>
      </c>
      <c r="U51" s="31">
        <f t="shared" si="13"/>
        <v>28500</v>
      </c>
      <c r="V51" s="30">
        <f t="shared" si="14"/>
        <v>52088.978708080649</v>
      </c>
      <c r="W51" s="38">
        <f t="shared" si="17"/>
        <v>463475.3508855913</v>
      </c>
      <c r="X51" s="69">
        <f t="shared" si="18"/>
        <v>515564.32959367195</v>
      </c>
      <c r="Y51">
        <f t="shared" si="15"/>
        <v>0</v>
      </c>
      <c r="Z51" s="30">
        <f t="shared" si="19"/>
        <v>22429.430294273112</v>
      </c>
      <c r="AA51" s="2">
        <f t="shared" ca="1" si="2"/>
        <v>24</v>
      </c>
    </row>
    <row r="52" spans="2:27" ht="15.75" thickBot="1" x14ac:dyDescent="0.25">
      <c r="B52" s="204" t="s">
        <v>88</v>
      </c>
      <c r="C52" s="205"/>
      <c r="D52" s="71" t="str">
        <f ca="1">'Projected Retirement Drawdown'!AK505</f>
        <v>N/A</v>
      </c>
      <c r="E52" s="125" t="str">
        <f ca="1">IF('Projected Retirement Drawdown'!I506&gt;0,"RMD FAIL","RMD OK")</f>
        <v>RMD OK</v>
      </c>
      <c r="F52" s="272"/>
      <c r="H52" s="99" t="s">
        <v>144</v>
      </c>
      <c r="I52" s="251">
        <v>0.33</v>
      </c>
      <c r="J52" s="252">
        <v>411500</v>
      </c>
      <c r="M52" s="5">
        <f t="shared" si="23"/>
        <v>46.7</v>
      </c>
      <c r="N52" s="43">
        <f t="shared" si="24"/>
        <v>42917</v>
      </c>
      <c r="O52" s="31">
        <f t="shared" si="8"/>
        <v>31280.960833904486</v>
      </c>
      <c r="P52" s="31">
        <f t="shared" si="20"/>
        <v>20500</v>
      </c>
      <c r="Q52" s="30">
        <f t="shared" si="9"/>
        <v>5050.7146756948969</v>
      </c>
      <c r="R52" s="31">
        <f t="shared" si="10"/>
        <v>13973.26578977668</v>
      </c>
      <c r="S52" s="47">
        <f t="shared" si="11"/>
        <v>252477.87861744512</v>
      </c>
      <c r="T52" s="30">
        <f t="shared" si="12"/>
        <v>141845.50927868552</v>
      </c>
      <c r="U52" s="31">
        <f t="shared" si="13"/>
        <v>28500</v>
      </c>
      <c r="V52" s="30">
        <f t="shared" si="14"/>
        <v>52732.942307262885</v>
      </c>
      <c r="W52" s="38">
        <f t="shared" si="17"/>
        <v>467883.30128769763</v>
      </c>
      <c r="X52" s="69">
        <f t="shared" si="18"/>
        <v>520616.24359496054</v>
      </c>
      <c r="Y52">
        <f t="shared" si="15"/>
        <v>0</v>
      </c>
      <c r="Z52" s="30">
        <f t="shared" si="19"/>
        <v>23254.972092190881</v>
      </c>
      <c r="AA52" s="2">
        <f t="shared" ca="1" si="2"/>
        <v>24</v>
      </c>
    </row>
    <row r="53" spans="2:27" ht="15.75" thickBot="1" x14ac:dyDescent="0.25">
      <c r="B53" s="206" t="s">
        <v>89</v>
      </c>
      <c r="C53" s="207"/>
      <c r="D53" s="72" t="str">
        <f ca="1">'Projected Retirement Drawdown'!AL505</f>
        <v>N/A</v>
      </c>
      <c r="H53" s="99" t="s">
        <v>127</v>
      </c>
      <c r="I53" s="101">
        <v>3950</v>
      </c>
      <c r="M53" s="5">
        <f t="shared" si="23"/>
        <v>46.8</v>
      </c>
      <c r="N53" s="43">
        <f t="shared" si="24"/>
        <v>42948</v>
      </c>
      <c r="O53" s="31">
        <f t="shared" si="8"/>
        <v>31960.867639811309</v>
      </c>
      <c r="P53" s="31">
        <f t="shared" si="20"/>
        <v>20500</v>
      </c>
      <c r="Q53" s="30">
        <f t="shared" si="9"/>
        <v>5086.4905713144026</v>
      </c>
      <c r="R53" s="31">
        <f t="shared" si="10"/>
        <v>14072.243089120931</v>
      </c>
      <c r="S53" s="47">
        <f t="shared" si="11"/>
        <v>254266.26359098536</v>
      </c>
      <c r="T53" s="30">
        <f t="shared" si="12"/>
        <v>142850.24830274287</v>
      </c>
      <c r="U53" s="31">
        <f t="shared" si="13"/>
        <v>28500</v>
      </c>
      <c r="V53" s="30">
        <f t="shared" si="14"/>
        <v>53381.467315272661</v>
      </c>
      <c r="W53" s="38">
        <f t="shared" si="17"/>
        <v>472322.47467181872</v>
      </c>
      <c r="X53" s="69">
        <f t="shared" si="18"/>
        <v>525703.94198709144</v>
      </c>
      <c r="Y53">
        <f t="shared" si="15"/>
        <v>0</v>
      </c>
      <c r="Z53" s="30">
        <f t="shared" si="19"/>
        <v>24086.361477843901</v>
      </c>
      <c r="AA53" s="2">
        <f t="shared" ca="1" si="2"/>
        <v>24</v>
      </c>
    </row>
    <row r="54" spans="2:27" ht="13.5" thickBot="1" x14ac:dyDescent="0.25">
      <c r="B54" s="212"/>
      <c r="C54" s="213"/>
      <c r="D54" s="214"/>
      <c r="E54" s="215"/>
      <c r="F54" s="216"/>
      <c r="H54" s="99" t="s">
        <v>77</v>
      </c>
      <c r="I54" s="101">
        <v>6200</v>
      </c>
      <c r="M54" s="5">
        <f t="shared" si="23"/>
        <v>46.9</v>
      </c>
      <c r="N54" s="43">
        <f t="shared" si="24"/>
        <v>42979</v>
      </c>
      <c r="O54" s="31">
        <f t="shared" si="8"/>
        <v>32645.59045225997</v>
      </c>
      <c r="P54" s="31">
        <f t="shared" si="20"/>
        <v>20500</v>
      </c>
      <c r="Q54" s="30">
        <f t="shared" si="9"/>
        <v>5122.5198795278793</v>
      </c>
      <c r="R54" s="31">
        <f t="shared" si="10"/>
        <v>14171.921477668871</v>
      </c>
      <c r="S54" s="47">
        <f t="shared" si="11"/>
        <v>256067.31629142151</v>
      </c>
      <c r="T54" s="30">
        <f t="shared" si="12"/>
        <v>143862.10422822062</v>
      </c>
      <c r="U54" s="31">
        <f t="shared" si="13"/>
        <v>28500</v>
      </c>
      <c r="V54" s="30">
        <f t="shared" si="14"/>
        <v>54034.586042089177</v>
      </c>
      <c r="W54" s="38">
        <f t="shared" si="17"/>
        <v>476793.09220074414</v>
      </c>
      <c r="X54" s="69">
        <f t="shared" si="18"/>
        <v>530827.67824283324</v>
      </c>
      <c r="Y54">
        <f t="shared" si="15"/>
        <v>0</v>
      </c>
      <c r="Z54" s="30">
        <f t="shared" si="19"/>
        <v>24923.639871645297</v>
      </c>
      <c r="AA54" s="2">
        <f t="shared" ca="1" si="2"/>
        <v>24</v>
      </c>
    </row>
    <row r="55" spans="2:27" ht="15.75" thickBot="1" x14ac:dyDescent="0.3">
      <c r="B55" s="201" t="s">
        <v>106</v>
      </c>
      <c r="C55" s="202"/>
      <c r="D55" s="202"/>
      <c r="E55" s="199">
        <f ca="1">INDEX(P1:P274,Y274)-SUM('Projected Retirement Drawdown'!E10:INDEX('Projected Retirement Drawdown'!E1:E190,'Projected Retirement Drawdown'!A505))</f>
        <v>55685.054634738437</v>
      </c>
      <c r="F55" s="200"/>
      <c r="H55" s="281" t="s">
        <v>151</v>
      </c>
      <c r="I55" s="282" t="s">
        <v>76</v>
      </c>
      <c r="J55" s="285" t="s">
        <v>84</v>
      </c>
      <c r="K55" s="256" t="s">
        <v>157</v>
      </c>
      <c r="M55" s="5">
        <f t="shared" si="23"/>
        <v>47</v>
      </c>
      <c r="N55" s="43">
        <f t="shared" si="24"/>
        <v>43009</v>
      </c>
      <c r="O55" s="31">
        <f t="shared" si="8"/>
        <v>33335.163384630148</v>
      </c>
      <c r="P55" s="31">
        <f t="shared" si="20"/>
        <v>20500</v>
      </c>
      <c r="Q55" s="30">
        <f t="shared" si="9"/>
        <v>5158.8043953412016</v>
      </c>
      <c r="R55" s="31">
        <f t="shared" si="10"/>
        <v>14272.305921469026</v>
      </c>
      <c r="S55" s="47">
        <f t="shared" si="11"/>
        <v>257881.12644848574</v>
      </c>
      <c r="T55" s="30">
        <f t="shared" si="12"/>
        <v>144881.12746650385</v>
      </c>
      <c r="U55" s="31">
        <f t="shared" si="13"/>
        <v>28500</v>
      </c>
      <c r="V55" s="30">
        <f t="shared" si="14"/>
        <v>54692.331026553977</v>
      </c>
      <c r="W55" s="38">
        <f t="shared" si="17"/>
        <v>481295.37660383276</v>
      </c>
      <c r="X55" s="69">
        <f t="shared" si="18"/>
        <v>535987.70763038669</v>
      </c>
      <c r="Y55">
        <f t="shared" si="15"/>
        <v>0</v>
      </c>
      <c r="Z55" s="30">
        <f t="shared" si="19"/>
        <v>25766.848987402784</v>
      </c>
      <c r="AA55" s="2">
        <f t="shared" ca="1" si="2"/>
        <v>24</v>
      </c>
    </row>
    <row r="56" spans="2:27" ht="15.75" thickBot="1" x14ac:dyDescent="0.3">
      <c r="B56" s="125" t="s">
        <v>101</v>
      </c>
      <c r="C56" s="126"/>
      <c r="D56" s="127"/>
      <c r="E56" s="208">
        <f>'Projected Retirement Drawdown'!U10</f>
        <v>161682.98831206842</v>
      </c>
      <c r="F56" s="209"/>
      <c r="H56" s="277" t="s">
        <v>152</v>
      </c>
      <c r="I56" s="283">
        <v>2.5899999999999999E-2</v>
      </c>
      <c r="J56" s="284">
        <v>10000</v>
      </c>
      <c r="K56" s="286">
        <f>I56*J56</f>
        <v>259</v>
      </c>
      <c r="M56" s="5">
        <f t="shared" si="23"/>
        <v>47</v>
      </c>
      <c r="N56" s="43">
        <f t="shared" si="24"/>
        <v>43040</v>
      </c>
      <c r="O56" s="31">
        <f t="shared" si="8"/>
        <v>34029.620791937945</v>
      </c>
      <c r="P56" s="31">
        <f t="shared" si="20"/>
        <v>20500</v>
      </c>
      <c r="Q56" s="30">
        <f t="shared" si="9"/>
        <v>5195.3459264748681</v>
      </c>
      <c r="R56" s="31">
        <f t="shared" si="10"/>
        <v>14373.401421746097</v>
      </c>
      <c r="S56" s="47">
        <f t="shared" si="11"/>
        <v>259707.78442749585</v>
      </c>
      <c r="T56" s="30">
        <f t="shared" si="12"/>
        <v>145907.36878605824</v>
      </c>
      <c r="U56" s="31">
        <f t="shared" si="13"/>
        <v>28500</v>
      </c>
      <c r="V56" s="30">
        <f t="shared" si="14"/>
        <v>55354.735037992068</v>
      </c>
      <c r="W56" s="38">
        <f t="shared" si="17"/>
        <v>485829.5521881099</v>
      </c>
      <c r="X56" s="69">
        <f t="shared" si="18"/>
        <v>541184.28722610197</v>
      </c>
      <c r="Y56">
        <f t="shared" si="15"/>
        <v>0</v>
      </c>
      <c r="Z56" s="30">
        <f t="shared" si="19"/>
        <v>26616.030834396886</v>
      </c>
      <c r="AA56" s="2">
        <f t="shared" ca="1" si="2"/>
        <v>24</v>
      </c>
    </row>
    <row r="57" spans="2:27" ht="15.75" thickBot="1" x14ac:dyDescent="0.3">
      <c r="B57" s="125" t="s">
        <v>105</v>
      </c>
      <c r="C57" s="126"/>
      <c r="D57" s="127"/>
      <c r="E57" s="208">
        <f ca="1">INDEX('Projected Retirement Drawdown'!U1:U505,'Projected Retirement Drawdown'!A505)</f>
        <v>188689.03843967943</v>
      </c>
      <c r="F57" s="209"/>
      <c r="H57" s="78" t="s">
        <v>153</v>
      </c>
      <c r="I57" s="278">
        <v>2.8799999999999999E-2</v>
      </c>
      <c r="J57" s="279">
        <v>25000</v>
      </c>
      <c r="K57" s="286">
        <f>(J57-J56)*I57+K56</f>
        <v>691</v>
      </c>
      <c r="M57" s="5">
        <f t="shared" si="23"/>
        <v>47.1</v>
      </c>
      <c r="N57" s="43">
        <f t="shared" si="24"/>
        <v>43070</v>
      </c>
      <c r="O57" s="31">
        <f t="shared" si="8"/>
        <v>34728.997272547509</v>
      </c>
      <c r="P57" s="31">
        <f t="shared" si="20"/>
        <v>20500</v>
      </c>
      <c r="Q57" s="30">
        <f t="shared" si="9"/>
        <v>5232.146293454065</v>
      </c>
      <c r="R57" s="31">
        <f t="shared" si="10"/>
        <v>14475.213015150131</v>
      </c>
      <c r="S57" s="47">
        <f t="shared" si="11"/>
        <v>261547.38123385728</v>
      </c>
      <c r="T57" s="30">
        <f t="shared" si="12"/>
        <v>146940.87931495949</v>
      </c>
      <c r="U57" s="31">
        <f t="shared" si="13"/>
        <v>28500</v>
      </c>
      <c r="V57" s="30">
        <f t="shared" si="14"/>
        <v>56021.831077844508</v>
      </c>
      <c r="W57" s="38">
        <f t="shared" si="17"/>
        <v>490395.84484944236</v>
      </c>
      <c r="X57" s="69">
        <f t="shared" si="18"/>
        <v>546417.67592728685</v>
      </c>
      <c r="Y57">
        <f t="shared" si="15"/>
        <v>0</v>
      </c>
      <c r="Z57" s="30">
        <f t="shared" si="19"/>
        <v>27471.227719473867</v>
      </c>
      <c r="AA57" s="2">
        <f t="shared" ca="1" si="2"/>
        <v>24</v>
      </c>
    </row>
    <row r="58" spans="2:27" ht="15.75" thickBot="1" x14ac:dyDescent="0.3">
      <c r="B58" s="125" t="s">
        <v>112</v>
      </c>
      <c r="C58" s="126"/>
      <c r="D58" s="127"/>
      <c r="E58" s="208">
        <f>'Projected Retirement Drawdown'!X506</f>
        <v>516993.59999999602</v>
      </c>
      <c r="F58" s="209"/>
      <c r="H58" s="78" t="s">
        <v>154</v>
      </c>
      <c r="I58" s="278">
        <v>3.3599999999999998E-2</v>
      </c>
      <c r="J58" s="279">
        <v>50000</v>
      </c>
      <c r="K58" s="286">
        <f t="shared" ref="K58:K59" si="29">(J58-J57)*I58+K57</f>
        <v>1531</v>
      </c>
      <c r="M58" s="5">
        <f t="shared" si="23"/>
        <v>47.2</v>
      </c>
      <c r="N58" s="43">
        <f t="shared" si="24"/>
        <v>43101</v>
      </c>
      <c r="O58" s="31">
        <f t="shared" si="8"/>
        <v>35433.327669894723</v>
      </c>
      <c r="P58" s="31">
        <f t="shared" ref="P58" si="30">IF(M58&gt;50,MAX(P57,P46+$J$13),MAX(P57,P46+$I$13))</f>
        <v>26000</v>
      </c>
      <c r="Q58" s="30">
        <f t="shared" si="9"/>
        <v>5269.2073296993649</v>
      </c>
      <c r="R58" s="31">
        <f t="shared" si="10"/>
        <v>14577.745774007444</v>
      </c>
      <c r="S58" s="47">
        <f t="shared" si="11"/>
        <v>263400.0085175971</v>
      </c>
      <c r="T58" s="30">
        <f t="shared" si="12"/>
        <v>147981.71054344045</v>
      </c>
      <c r="U58" s="31">
        <f t="shared" si="13"/>
        <v>28500</v>
      </c>
      <c r="V58" s="30">
        <f t="shared" si="14"/>
        <v>56693.652381312575</v>
      </c>
      <c r="W58" s="38">
        <f t="shared" si="17"/>
        <v>494994.48208379262</v>
      </c>
      <c r="X58" s="69">
        <f t="shared" si="18"/>
        <v>551688.13446510513</v>
      </c>
      <c r="Y58">
        <f t="shared" si="15"/>
        <v>0</v>
      </c>
      <c r="Z58" s="30">
        <f t="shared" si="19"/>
        <v>28332.482249153476</v>
      </c>
      <c r="AA58" s="2">
        <f t="shared" ca="1" si="2"/>
        <v>24</v>
      </c>
    </row>
    <row r="59" spans="2:27" ht="13.5" thickBot="1" x14ac:dyDescent="0.25">
      <c r="B59" s="201" t="s">
        <v>97</v>
      </c>
      <c r="C59" s="202"/>
      <c r="D59" s="202"/>
      <c r="E59" s="123">
        <f ca="1">SUM('Projected Retirement Drawdown'!AA10:AA505)</f>
        <v>1370672.3739126271</v>
      </c>
      <c r="F59" s="124"/>
      <c r="H59" s="78" t="s">
        <v>155</v>
      </c>
      <c r="I59" s="278">
        <v>4.24E-2</v>
      </c>
      <c r="J59" s="279">
        <v>150000</v>
      </c>
      <c r="K59" s="289">
        <f t="shared" si="29"/>
        <v>5771</v>
      </c>
      <c r="M59" s="5">
        <f t="shared" si="23"/>
        <v>47.3</v>
      </c>
      <c r="N59" s="43">
        <f t="shared" si="24"/>
        <v>43132</v>
      </c>
      <c r="O59" s="31">
        <f t="shared" si="8"/>
        <v>36142.647074223147</v>
      </c>
      <c r="P59" s="31">
        <f t="shared" si="20"/>
        <v>26000</v>
      </c>
      <c r="Q59" s="30">
        <f t="shared" si="9"/>
        <v>5306.5308816180686</v>
      </c>
      <c r="R59" s="31">
        <f t="shared" si="10"/>
        <v>14681.00480657333</v>
      </c>
      <c r="S59" s="47">
        <f t="shared" si="11"/>
        <v>265265.7585779301</v>
      </c>
      <c r="T59" s="30">
        <f t="shared" si="12"/>
        <v>149029.91432645649</v>
      </c>
      <c r="U59" s="31">
        <f t="shared" ref="U59" si="31">U58+$K$18</f>
        <v>30000</v>
      </c>
      <c r="V59" s="30">
        <f t="shared" si="14"/>
        <v>57370.23241901354</v>
      </c>
      <c r="W59" s="38">
        <f t="shared" si="17"/>
        <v>499625.69299855281</v>
      </c>
      <c r="X59" s="69">
        <f t="shared" si="18"/>
        <v>556995.92541756632</v>
      </c>
      <c r="Y59">
        <f t="shared" si="15"/>
        <v>0</v>
      </c>
      <c r="Z59" s="30">
        <f t="shared" si="19"/>
        <v>29199.837331751649</v>
      </c>
      <c r="AA59" s="2">
        <f t="shared" ca="1" si="2"/>
        <v>24</v>
      </c>
    </row>
    <row r="60" spans="2:27" ht="13.5" thickBot="1" x14ac:dyDescent="0.25">
      <c r="B60" s="226" t="s">
        <v>159</v>
      </c>
      <c r="C60" s="227"/>
      <c r="D60" s="227"/>
      <c r="E60" s="300">
        <f ca="1">SUM('Projected Retirement Drawdown'!Y10:Y505)</f>
        <v>5615175.7061075559</v>
      </c>
      <c r="F60" s="301"/>
      <c r="H60" s="99" t="s">
        <v>156</v>
      </c>
      <c r="I60" s="294">
        <v>4.5400000000000003E-2</v>
      </c>
      <c r="J60" s="280" t="s">
        <v>117</v>
      </c>
      <c r="K60" s="290"/>
      <c r="M60" s="5">
        <f t="shared" si="23"/>
        <v>47.4</v>
      </c>
      <c r="N60" s="43">
        <f t="shared" si="24"/>
        <v>43160</v>
      </c>
      <c r="O60" s="31">
        <f t="shared" si="8"/>
        <v>36856.990824332228</v>
      </c>
      <c r="P60" s="31">
        <f t="shared" si="20"/>
        <v>26000</v>
      </c>
      <c r="Q60" s="30">
        <f t="shared" si="9"/>
        <v>5344.1188086961965</v>
      </c>
      <c r="R60" s="31">
        <f t="shared" si="10"/>
        <v>14784.995257286557</v>
      </c>
      <c r="S60" s="47">
        <f t="shared" si="11"/>
        <v>267144.7243678571</v>
      </c>
      <c r="T60" s="30">
        <f t="shared" si="12"/>
        <v>154426.25446743748</v>
      </c>
      <c r="U60" s="31">
        <f t="shared" ref="U60" si="32">U59</f>
        <v>30000</v>
      </c>
      <c r="V60" s="30">
        <f t="shared" si="14"/>
        <v>58051.60489864822</v>
      </c>
      <c r="W60" s="38">
        <f t="shared" si="17"/>
        <v>508630.41990512778</v>
      </c>
      <c r="X60" s="69">
        <f t="shared" si="18"/>
        <v>566682.02480377606</v>
      </c>
      <c r="Y60">
        <f t="shared" si="15"/>
        <v>0</v>
      </c>
      <c r="Z60" s="30">
        <f t="shared" si="19"/>
        <v>30073.336179518225</v>
      </c>
      <c r="AA60" s="2">
        <f t="shared" ca="1" si="2"/>
        <v>24</v>
      </c>
    </row>
    <row r="61" spans="2:27" ht="13.5" thickBot="1" x14ac:dyDescent="0.25">
      <c r="B61" s="295" t="s">
        <v>126</v>
      </c>
      <c r="C61" s="296"/>
      <c r="D61" s="297"/>
      <c r="E61" s="298">
        <f ca="1">'Projected Retirement Drawdown'!AO506-'Projected Retirement Drawdown'!AJ506</f>
        <v>397633.3333333332</v>
      </c>
      <c r="F61" s="299"/>
      <c r="H61" s="96" t="s">
        <v>158</v>
      </c>
      <c r="I61" s="98">
        <v>2100</v>
      </c>
      <c r="J61" s="293"/>
      <c r="K61" s="35"/>
      <c r="M61" s="5">
        <f t="shared" si="23"/>
        <v>47.5</v>
      </c>
      <c r="N61" s="43">
        <f t="shared" si="24"/>
        <v>43191</v>
      </c>
      <c r="O61" s="31">
        <f t="shared" si="8"/>
        <v>37576.394509337915</v>
      </c>
      <c r="P61" s="31">
        <f t="shared" si="20"/>
        <v>26000</v>
      </c>
      <c r="Q61" s="30">
        <f t="shared" si="9"/>
        <v>5381.9729835911276</v>
      </c>
      <c r="R61" s="31">
        <f t="shared" si="10"/>
        <v>14889.72230702567</v>
      </c>
      <c r="S61" s="47">
        <f t="shared" si="11"/>
        <v>269036.99949879607</v>
      </c>
      <c r="T61" s="30">
        <f t="shared" si="12"/>
        <v>155520.10710324851</v>
      </c>
      <c r="U61" s="31">
        <f t="shared" si="13"/>
        <v>30000</v>
      </c>
      <c r="V61" s="30">
        <f t="shared" si="14"/>
        <v>58737.803766680314</v>
      </c>
      <c r="W61" s="38">
        <f t="shared" si="17"/>
        <v>513358.21871278912</v>
      </c>
      <c r="X61" s="69">
        <f t="shared" si="18"/>
        <v>572096.02247946942</v>
      </c>
      <c r="Y61">
        <f t="shared" si="15"/>
        <v>0</v>
      </c>
      <c r="Z61" s="30">
        <f t="shared" si="19"/>
        <v>30953.022310789813</v>
      </c>
      <c r="AA61" s="2">
        <f t="shared" ca="1" si="2"/>
        <v>24</v>
      </c>
    </row>
    <row r="62" spans="2:27" ht="13.5" thickBot="1" x14ac:dyDescent="0.25">
      <c r="B62" s="120" t="s">
        <v>125</v>
      </c>
      <c r="C62" s="121"/>
      <c r="D62" s="122"/>
      <c r="E62" s="123">
        <f>'Projected Retirement Drawdown'!AO506</f>
        <v>544965.33333333349</v>
      </c>
      <c r="F62" s="124"/>
      <c r="M62" s="5">
        <f t="shared" si="23"/>
        <v>47.5</v>
      </c>
      <c r="N62" s="43">
        <f t="shared" si="24"/>
        <v>43221</v>
      </c>
      <c r="O62" s="31">
        <f t="shared" si="8"/>
        <v>38300.89397044573</v>
      </c>
      <c r="P62" s="31">
        <f t="shared" si="20"/>
        <v>26000</v>
      </c>
      <c r="Q62" s="30">
        <f t="shared" si="9"/>
        <v>5420.095292224898</v>
      </c>
      <c r="R62" s="31">
        <f t="shared" si="10"/>
        <v>14995.191173367102</v>
      </c>
      <c r="S62" s="47">
        <f t="shared" si="11"/>
        <v>270942.67824524589</v>
      </c>
      <c r="T62" s="30">
        <f t="shared" si="12"/>
        <v>156621.70786189652</v>
      </c>
      <c r="U62" s="31">
        <f t="shared" si="13"/>
        <v>30000</v>
      </c>
      <c r="V62" s="30">
        <f t="shared" si="14"/>
        <v>59428.86321002763</v>
      </c>
      <c r="W62" s="38">
        <f t="shared" si="17"/>
        <v>518119.50609533803</v>
      </c>
      <c r="X62" s="69">
        <f t="shared" si="18"/>
        <v>577548.36930536572</v>
      </c>
      <c r="Y62">
        <f t="shared" si="15"/>
        <v>0</v>
      </c>
      <c r="Z62" s="30">
        <f t="shared" si="19"/>
        <v>31838.93955215791</v>
      </c>
      <c r="AA62" s="2">
        <f t="shared" ca="1" si="2"/>
        <v>24</v>
      </c>
    </row>
    <row r="63" spans="2:27" ht="13.5" thickBot="1" x14ac:dyDescent="0.25">
      <c r="B63" s="226" t="s">
        <v>143</v>
      </c>
      <c r="C63" s="227"/>
      <c r="D63" s="227"/>
      <c r="E63" s="248">
        <f ca="1">AVERAGE('Projected Retirement Drawdown'!AB10:AB505)</f>
        <v>0.23261872203928669</v>
      </c>
      <c r="F63" s="249"/>
      <c r="H63" s="105" t="s">
        <v>93</v>
      </c>
      <c r="I63" s="203"/>
      <c r="J63" s="62">
        <v>0.85</v>
      </c>
      <c r="M63" s="5">
        <f t="shared" si="23"/>
        <v>47.6</v>
      </c>
      <c r="N63" s="43">
        <f t="shared" si="24"/>
        <v>43252</v>
      </c>
      <c r="O63" s="31">
        <f t="shared" si="8"/>
        <v>39030.525302736387</v>
      </c>
      <c r="P63" s="31">
        <f t="shared" si="20"/>
        <v>26000</v>
      </c>
      <c r="Q63" s="30">
        <f t="shared" si="9"/>
        <v>5458.4876338781578</v>
      </c>
      <c r="R63" s="31">
        <f t="shared" si="10"/>
        <v>15101.407110845119</v>
      </c>
      <c r="S63" s="47">
        <f t="shared" si="11"/>
        <v>272861.85554948304</v>
      </c>
      <c r="T63" s="30">
        <f t="shared" si="12"/>
        <v>157731.11162591827</v>
      </c>
      <c r="U63" s="31">
        <f t="shared" si="13"/>
        <v>30000</v>
      </c>
      <c r="V63" s="30">
        <f t="shared" si="14"/>
        <v>60124.817657765328</v>
      </c>
      <c r="W63" s="38">
        <f t="shared" si="17"/>
        <v>522914.51926351333</v>
      </c>
      <c r="X63" s="69">
        <f t="shared" si="18"/>
        <v>583039.33692127862</v>
      </c>
      <c r="Y63">
        <f t="shared" si="15"/>
        <v>0</v>
      </c>
      <c r="Z63" s="30">
        <f t="shared" si="19"/>
        <v>32731.132040652363</v>
      </c>
      <c r="AA63" s="2">
        <f t="shared" ca="1" si="2"/>
        <v>24</v>
      </c>
    </row>
    <row r="64" spans="2:27" x14ac:dyDescent="0.2">
      <c r="M64" s="5">
        <f t="shared" si="23"/>
        <v>47.7</v>
      </c>
      <c r="N64" s="43">
        <f t="shared" si="24"/>
        <v>43282</v>
      </c>
      <c r="O64" s="31">
        <f t="shared" si="8"/>
        <v>39765.324856964107</v>
      </c>
      <c r="P64" s="31">
        <f t="shared" si="20"/>
        <v>26000</v>
      </c>
      <c r="Q64" s="30">
        <f t="shared" si="9"/>
        <v>5497.1519212847943</v>
      </c>
      <c r="R64" s="31">
        <f t="shared" si="10"/>
        <v>15208.375411213605</v>
      </c>
      <c r="S64" s="47">
        <f t="shared" si="11"/>
        <v>274794.62702629186</v>
      </c>
      <c r="T64" s="30">
        <f t="shared" si="12"/>
        <v>158848.37366660187</v>
      </c>
      <c r="U64" s="31">
        <f t="shared" si="13"/>
        <v>30000</v>
      </c>
      <c r="V64" s="30">
        <f t="shared" si="14"/>
        <v>60825.701782841163</v>
      </c>
      <c r="W64" s="38">
        <f t="shared" si="17"/>
        <v>527743.49710829661</v>
      </c>
      <c r="X64" s="69">
        <f t="shared" si="18"/>
        <v>588569.19889113773</v>
      </c>
      <c r="Y64">
        <f t="shared" si="15"/>
        <v>0</v>
      </c>
      <c r="Z64" s="30">
        <f t="shared" si="19"/>
        <v>33629.644225940312</v>
      </c>
      <c r="AA64" s="2">
        <f t="shared" ca="1" si="2"/>
        <v>24</v>
      </c>
    </row>
    <row r="65" spans="13:27" x14ac:dyDescent="0.2">
      <c r="M65" s="5">
        <f t="shared" si="23"/>
        <v>47.8</v>
      </c>
      <c r="N65" s="43">
        <f t="shared" si="24"/>
        <v>43313</v>
      </c>
      <c r="O65" s="31">
        <f t="shared" si="8"/>
        <v>40505.329241367603</v>
      </c>
      <c r="P65" s="31">
        <f t="shared" si="20"/>
        <v>26000</v>
      </c>
      <c r="Q65" s="30">
        <f t="shared" si="9"/>
        <v>5536.0900807272283</v>
      </c>
      <c r="R65" s="31">
        <f t="shared" si="10"/>
        <v>15316.101403709701</v>
      </c>
      <c r="S65" s="47">
        <f t="shared" si="11"/>
        <v>276741.08896772808</v>
      </c>
      <c r="T65" s="30">
        <f t="shared" si="12"/>
        <v>159973.54964674028</v>
      </c>
      <c r="U65" s="31">
        <f t="shared" si="13"/>
        <v>30000</v>
      </c>
      <c r="V65" s="30">
        <f t="shared" si="14"/>
        <v>61531.550503802951</v>
      </c>
      <c r="W65" s="38">
        <f t="shared" si="17"/>
        <v>532606.68021281366</v>
      </c>
      <c r="X65" s="69">
        <f t="shared" si="18"/>
        <v>594138.23071661661</v>
      </c>
      <c r="Y65">
        <f t="shared" si="15"/>
        <v>0</v>
      </c>
      <c r="Z65" s="30">
        <f t="shared" si="19"/>
        <v>34534.520872540721</v>
      </c>
      <c r="AA65" s="2">
        <f t="shared" ca="1" si="2"/>
        <v>24</v>
      </c>
    </row>
    <row r="66" spans="13:27" x14ac:dyDescent="0.2">
      <c r="M66" s="5">
        <f t="shared" si="23"/>
        <v>47.9</v>
      </c>
      <c r="N66" s="43">
        <f t="shared" si="24"/>
        <v>43344</v>
      </c>
      <c r="O66" s="31">
        <f t="shared" si="8"/>
        <v>41250.575323493962</v>
      </c>
      <c r="P66" s="31">
        <f t="shared" si="20"/>
        <v>26000</v>
      </c>
      <c r="Q66" s="30">
        <f t="shared" si="9"/>
        <v>5575.3040521323792</v>
      </c>
      <c r="R66" s="31">
        <f t="shared" si="10"/>
        <v>15424.590455319312</v>
      </c>
      <c r="S66" s="47">
        <f t="shared" si="11"/>
        <v>278701.33834791614</v>
      </c>
      <c r="T66" s="30">
        <f t="shared" si="12"/>
        <v>161106.6956234047</v>
      </c>
      <c r="U66" s="31">
        <f t="shared" si="13"/>
        <v>30000</v>
      </c>
      <c r="V66" s="30">
        <f t="shared" si="14"/>
        <v>62242.398986538225</v>
      </c>
      <c r="W66" s="38">
        <f t="shared" si="17"/>
        <v>537504.31086432107</v>
      </c>
      <c r="X66" s="69">
        <f t="shared" si="18"/>
        <v>599746.70985085925</v>
      </c>
      <c r="Y66">
        <f t="shared" si="15"/>
        <v>0</v>
      </c>
      <c r="Z66" s="30">
        <f t="shared" si="19"/>
        <v>35445.807062054548</v>
      </c>
      <c r="AA66" s="2">
        <f t="shared" ca="1" si="2"/>
        <v>24</v>
      </c>
    </row>
    <row r="67" spans="13:27" x14ac:dyDescent="0.2">
      <c r="M67" s="5">
        <f t="shared" si="23"/>
        <v>48</v>
      </c>
      <c r="N67" s="43">
        <f t="shared" si="24"/>
        <v>43374</v>
      </c>
      <c r="O67" s="31">
        <f t="shared" si="8"/>
        <v>42001.10023203538</v>
      </c>
      <c r="P67" s="31">
        <f t="shared" si="20"/>
        <v>26000</v>
      </c>
      <c r="Q67" s="30">
        <f t="shared" si="9"/>
        <v>5614.7957891683172</v>
      </c>
      <c r="R67" s="31">
        <f t="shared" si="10"/>
        <v>15533.84797104449</v>
      </c>
      <c r="S67" s="47">
        <f t="shared" si="11"/>
        <v>280675.47282788053</v>
      </c>
      <c r="T67" s="30">
        <f t="shared" si="12"/>
        <v>162247.86805073713</v>
      </c>
      <c r="U67" s="31">
        <f t="shared" si="13"/>
        <v>30000</v>
      </c>
      <c r="V67" s="30">
        <f t="shared" si="14"/>
        <v>62958.2826460262</v>
      </c>
      <c r="W67" s="38">
        <f t="shared" si="17"/>
        <v>542436.63306627667</v>
      </c>
      <c r="X67" s="69">
        <f t="shared" si="18"/>
        <v>605394.91571230278</v>
      </c>
      <c r="Y67">
        <f t="shared" si="15"/>
        <v>0</v>
      </c>
      <c r="Z67" s="30">
        <f t="shared" si="19"/>
        <v>36363.548195410767</v>
      </c>
      <c r="AA67" s="2">
        <f t="shared" ca="1" si="2"/>
        <v>24</v>
      </c>
    </row>
    <row r="68" spans="13:27" x14ac:dyDescent="0.2">
      <c r="M68" s="5">
        <f t="shared" si="23"/>
        <v>48</v>
      </c>
      <c r="N68" s="43">
        <f t="shared" si="24"/>
        <v>43405</v>
      </c>
      <c r="O68" s="31">
        <f t="shared" si="8"/>
        <v>42756.941358678967</v>
      </c>
      <c r="P68" s="31">
        <f t="shared" si="20"/>
        <v>26000</v>
      </c>
      <c r="Q68" s="30">
        <f t="shared" si="9"/>
        <v>5654.5672593415929</v>
      </c>
      <c r="R68" s="31">
        <f t="shared" si="10"/>
        <v>15643.879394172722</v>
      </c>
      <c r="S68" s="47">
        <f t="shared" si="11"/>
        <v>282663.59076041135</v>
      </c>
      <c r="T68" s="30">
        <f t="shared" si="12"/>
        <v>163397.1237827632</v>
      </c>
      <c r="U68" s="31">
        <f t="shared" si="13"/>
        <v>30000</v>
      </c>
      <c r="V68" s="30">
        <f t="shared" si="14"/>
        <v>63679.23714810222</v>
      </c>
      <c r="W68" s="38">
        <f t="shared" si="17"/>
        <v>547403.89255049604</v>
      </c>
      <c r="X68" s="69">
        <f t="shared" si="18"/>
        <v>611083.12969859829</v>
      </c>
      <c r="Y68">
        <f t="shared" si="15"/>
        <v>0</v>
      </c>
      <c r="Z68" s="30">
        <f t="shared" si="19"/>
        <v>37287.78999512826</v>
      </c>
      <c r="AA68" s="2">
        <f t="shared" ca="1" si="2"/>
        <v>24</v>
      </c>
    </row>
    <row r="69" spans="13:27" x14ac:dyDescent="0.2">
      <c r="M69" s="5">
        <f t="shared" si="23"/>
        <v>48.1</v>
      </c>
      <c r="N69" s="43">
        <f t="shared" si="24"/>
        <v>43435</v>
      </c>
      <c r="O69" s="31">
        <f t="shared" si="8"/>
        <v>43518.136359969612</v>
      </c>
      <c r="P69" s="31">
        <f t="shared" si="20"/>
        <v>26000</v>
      </c>
      <c r="Q69" s="30">
        <f t="shared" si="9"/>
        <v>5694.6204440952624</v>
      </c>
      <c r="R69" s="31">
        <f t="shared" si="10"/>
        <v>15754.690206548112</v>
      </c>
      <c r="S69" s="47">
        <f t="shared" si="11"/>
        <v>284665.79119496426</v>
      </c>
      <c r="T69" s="30">
        <f t="shared" si="12"/>
        <v>164554.52007622443</v>
      </c>
      <c r="U69" s="31">
        <f t="shared" si="13"/>
        <v>30000</v>
      </c>
      <c r="V69" s="30">
        <f t="shared" si="14"/>
        <v>64405.298411234609</v>
      </c>
      <c r="W69" s="38">
        <f t="shared" si="17"/>
        <v>552406.33678939543</v>
      </c>
      <c r="X69" s="69">
        <f t="shared" si="18"/>
        <v>616811.63520063006</v>
      </c>
      <c r="Y69">
        <f t="shared" si="15"/>
        <v>0</v>
      </c>
      <c r="Z69" s="30">
        <f t="shared" si="19"/>
        <v>38218.578507593746</v>
      </c>
      <c r="AA69" s="2">
        <f t="shared" ca="1" si="2"/>
        <v>24</v>
      </c>
    </row>
    <row r="70" spans="13:27" x14ac:dyDescent="0.2">
      <c r="M70" s="5">
        <f t="shared" si="23"/>
        <v>48.2</v>
      </c>
      <c r="N70" s="43">
        <f t="shared" si="24"/>
        <v>43466</v>
      </c>
      <c r="O70" s="31">
        <f t="shared" si="8"/>
        <v>44284.723159186069</v>
      </c>
      <c r="P70" s="31">
        <f t="shared" ref="P70" si="33">IF(M70&gt;50,MAX(P69,P58+$J$13),MAX(P69,P58+$I$13))</f>
        <v>31500</v>
      </c>
      <c r="Q70" s="30">
        <f t="shared" si="9"/>
        <v>5734.957338907604</v>
      </c>
      <c r="R70" s="31">
        <f t="shared" si="10"/>
        <v>15866.285928844494</v>
      </c>
      <c r="S70" s="47">
        <f t="shared" si="11"/>
        <v>286682.17388259526</v>
      </c>
      <c r="T70" s="30">
        <f t="shared" si="12"/>
        <v>165720.11459343103</v>
      </c>
      <c r="U70" s="31">
        <f t="shared" si="13"/>
        <v>30000</v>
      </c>
      <c r="V70" s="30">
        <f t="shared" si="14"/>
        <v>65136.502608314186</v>
      </c>
      <c r="W70" s="38">
        <f t="shared" si="17"/>
        <v>557444.21500832029</v>
      </c>
      <c r="X70" s="69">
        <f t="shared" si="18"/>
        <v>622580.71761663444</v>
      </c>
      <c r="Y70">
        <f t="shared" si="15"/>
        <v>0</v>
      </c>
      <c r="Z70" s="30">
        <f t="shared" si="19"/>
        <v>39155.960105355865</v>
      </c>
      <c r="AA70" s="2">
        <f t="shared" ca="1" si="2"/>
        <v>24</v>
      </c>
    </row>
    <row r="71" spans="13:27" x14ac:dyDescent="0.2">
      <c r="M71" s="5">
        <f t="shared" si="23"/>
        <v>48.3</v>
      </c>
      <c r="N71" s="43">
        <f t="shared" si="24"/>
        <v>43497</v>
      </c>
      <c r="O71" s="31">
        <f t="shared" si="8"/>
        <v>45056.739948230308</v>
      </c>
      <c r="P71" s="31">
        <f t="shared" si="20"/>
        <v>31500</v>
      </c>
      <c r="Q71" s="30">
        <f t="shared" si="9"/>
        <v>5775.5799533915333</v>
      </c>
      <c r="R71" s="31">
        <f t="shared" si="10"/>
        <v>15978.672120840476</v>
      </c>
      <c r="S71" s="47">
        <f t="shared" si="11"/>
        <v>288712.83928093029</v>
      </c>
      <c r="T71" s="30">
        <f t="shared" si="12"/>
        <v>166893.96540513451</v>
      </c>
      <c r="U71" s="31">
        <f t="shared" ref="U71" si="34">U70+$K$18</f>
        <v>31500</v>
      </c>
      <c r="V71" s="30">
        <f t="shared" si="14"/>
        <v>65872.886168456418</v>
      </c>
      <c r="W71" s="38">
        <f t="shared" si="17"/>
        <v>562517.77819796256</v>
      </c>
      <c r="X71" s="69">
        <f t="shared" si="18"/>
        <v>628390.66436641896</v>
      </c>
      <c r="Y71">
        <f t="shared" si="15"/>
        <v>0</v>
      </c>
      <c r="Z71" s="30">
        <f t="shared" si="19"/>
        <v>40099.981489435464</v>
      </c>
      <c r="AA71" s="2">
        <f t="shared" ca="1" si="2"/>
        <v>24</v>
      </c>
    </row>
    <row r="72" spans="13:27" x14ac:dyDescent="0.2">
      <c r="M72" s="5">
        <f t="shared" si="23"/>
        <v>48.4</v>
      </c>
      <c r="N72" s="43">
        <f t="shared" si="24"/>
        <v>43525</v>
      </c>
      <c r="O72" s="31">
        <f t="shared" si="8"/>
        <v>45834.225189530276</v>
      </c>
      <c r="P72" s="31">
        <f t="shared" si="20"/>
        <v>31500</v>
      </c>
      <c r="Q72" s="30">
        <f t="shared" si="9"/>
        <v>5816.490311394723</v>
      </c>
      <c r="R72" s="31">
        <f t="shared" si="10"/>
        <v>16091.85438169643</v>
      </c>
      <c r="S72" s="47">
        <f t="shared" si="11"/>
        <v>290757.88855917018</v>
      </c>
      <c r="T72" s="30">
        <f t="shared" si="12"/>
        <v>172481.95324830699</v>
      </c>
      <c r="U72" s="31">
        <f t="shared" ref="U72" si="35">U71</f>
        <v>31500</v>
      </c>
      <c r="V72" s="30">
        <f t="shared" si="14"/>
        <v>66614.485778816321</v>
      </c>
      <c r="W72" s="38">
        <f t="shared" si="17"/>
        <v>572033.10138175089</v>
      </c>
      <c r="X72" s="69">
        <f t="shared" si="18"/>
        <v>638647.58716056717</v>
      </c>
      <c r="Y72">
        <f t="shared" si="15"/>
        <v>0</v>
      </c>
      <c r="Z72" s="30">
        <f t="shared" si="19"/>
        <v>41050.689691652296</v>
      </c>
      <c r="AA72" s="2">
        <f t="shared" ca="1" si="2"/>
        <v>24</v>
      </c>
    </row>
    <row r="73" spans="13:27" x14ac:dyDescent="0.2">
      <c r="M73" s="5">
        <f t="shared" si="23"/>
        <v>48.5</v>
      </c>
      <c r="N73" s="43">
        <f t="shared" si="24"/>
        <v>43556</v>
      </c>
      <c r="O73" s="31">
        <f t="shared" si="8"/>
        <v>46617.217617956121</v>
      </c>
      <c r="P73" s="31">
        <f t="shared" si="20"/>
        <v>31500</v>
      </c>
      <c r="Q73" s="30">
        <f t="shared" si="9"/>
        <v>5857.6904511004359</v>
      </c>
      <c r="R73" s="31">
        <f t="shared" si="10"/>
        <v>16205.838350233447</v>
      </c>
      <c r="S73" s="47">
        <f t="shared" si="11"/>
        <v>292817.42360313097</v>
      </c>
      <c r="T73" s="30">
        <f t="shared" si="12"/>
        <v>173703.70041714917</v>
      </c>
      <c r="U73" s="31">
        <f t="shared" si="13"/>
        <v>31500</v>
      </c>
      <c r="V73" s="30">
        <f t="shared" si="14"/>
        <v>67361.338386416275</v>
      </c>
      <c r="W73" s="38">
        <f t="shared" si="17"/>
        <v>577210.00251653837</v>
      </c>
      <c r="X73" s="69">
        <f t="shared" si="18"/>
        <v>644571.34090295469</v>
      </c>
      <c r="Y73">
        <f t="shared" si="15"/>
        <v>0</v>
      </c>
      <c r="Z73" s="30">
        <f t="shared" si="19"/>
        <v>42008.132076968162</v>
      </c>
      <c r="AA73" s="2">
        <f t="shared" ca="1" si="2"/>
        <v>24</v>
      </c>
    </row>
    <row r="74" spans="13:27" x14ac:dyDescent="0.2">
      <c r="M74" s="5">
        <f t="shared" ref="M74" si="36">(INT((((YEAR(N74)-YEAR(DATE(1970,10,16)))*12+MONTH(N74)-MONTH(DATE(1970,10,16)))/12)*10))/10</f>
        <v>48.5</v>
      </c>
      <c r="N74" s="43">
        <f t="shared" si="24"/>
        <v>43586</v>
      </c>
      <c r="O74" s="31">
        <f t="shared" si="8"/>
        <v>47405.75624274998</v>
      </c>
      <c r="P74" s="31">
        <f t="shared" si="20"/>
        <v>31500</v>
      </c>
      <c r="Q74" s="30">
        <f t="shared" si="9"/>
        <v>5899.1824251290636</v>
      </c>
      <c r="R74" s="31">
        <f t="shared" si="10"/>
        <v>16320.629705214267</v>
      </c>
      <c r="S74" s="47">
        <f t="shared" si="11"/>
        <v>294891.54702031979</v>
      </c>
      <c r="T74" s="30">
        <f t="shared" si="12"/>
        <v>174934.10162843732</v>
      </c>
      <c r="U74" s="31">
        <f t="shared" si="13"/>
        <v>31500</v>
      </c>
      <c r="V74" s="30">
        <f t="shared" si="14"/>
        <v>68113.481199986723</v>
      </c>
      <c r="W74" s="38">
        <f t="shared" si="17"/>
        <v>582423.57336769707</v>
      </c>
      <c r="X74" s="69">
        <f t="shared" si="18"/>
        <v>650537.05456768384</v>
      </c>
      <c r="Y74">
        <f t="shared" si="15"/>
        <v>0</v>
      </c>
      <c r="Z74" s="30">
        <f t="shared" si="19"/>
        <v>42972.356345846682</v>
      </c>
      <c r="AA74" s="2">
        <f t="shared" ref="AA74:AA137" ca="1" si="37">IF(AND(TODAY()&lt;N75,OR(TODAY()&gt;N74,TODAY()=N74)),ROW(Z74),AA73)</f>
        <v>24</v>
      </c>
    </row>
    <row r="75" spans="13:27" x14ac:dyDescent="0.2">
      <c r="M75" s="5">
        <f t="shared" ref="M75:M138" si="38">(INT((((YEAR(N75)-YEAR(DATE(1970,10,16)))*12+MONTH(N75)-MONTH(DATE(1970,10,16)))/12)*10))/10</f>
        <v>48.6</v>
      </c>
      <c r="N75" s="43">
        <f t="shared" ref="N75:N92" si="39">DATE(YEAR(N74),MONTH(N74)+1,1)</f>
        <v>43617</v>
      </c>
      <c r="O75" s="31">
        <f t="shared" si="8"/>
        <v>48199.880349469458</v>
      </c>
      <c r="P75" s="31">
        <f t="shared" si="20"/>
        <v>31500</v>
      </c>
      <c r="Q75" s="30">
        <f t="shared" si="9"/>
        <v>5940.9683006403948</v>
      </c>
      <c r="R75" s="31">
        <f t="shared" si="10"/>
        <v>16436.234165626203</v>
      </c>
      <c r="S75" s="47">
        <f t="shared" si="11"/>
        <v>296980.36214504705</v>
      </c>
      <c r="T75" s="30">
        <f t="shared" si="12"/>
        <v>176173.21818163875</v>
      </c>
      <c r="U75" s="31">
        <f t="shared" si="13"/>
        <v>31500</v>
      </c>
      <c r="V75" s="30">
        <f t="shared" si="14"/>
        <v>68870.951691819966</v>
      </c>
      <c r="W75" s="38">
        <f t="shared" si="17"/>
        <v>587674.07367905159</v>
      </c>
      <c r="X75" s="69">
        <f t="shared" si="18"/>
        <v>656545.02537087153</v>
      </c>
      <c r="Y75">
        <f t="shared" si="15"/>
        <v>0</v>
      </c>
      <c r="Z75" s="30">
        <f t="shared" si="19"/>
        <v>43943.410536629759</v>
      </c>
      <c r="AA75" s="2">
        <f t="shared" ca="1" si="37"/>
        <v>24</v>
      </c>
    </row>
    <row r="76" spans="13:27" x14ac:dyDescent="0.2">
      <c r="M76" s="5">
        <f t="shared" si="38"/>
        <v>48.7</v>
      </c>
      <c r="N76" s="43">
        <f t="shared" si="39"/>
        <v>43647</v>
      </c>
      <c r="O76" s="31">
        <f t="shared" si="8"/>
        <v>48999.629501944866</v>
      </c>
      <c r="P76" s="31">
        <f t="shared" si="20"/>
        <v>31500</v>
      </c>
      <c r="Q76" s="30">
        <f t="shared" si="9"/>
        <v>5983.0501594365978</v>
      </c>
      <c r="R76" s="31">
        <f t="shared" si="10"/>
        <v>16552.657490966056</v>
      </c>
      <c r="S76" s="47">
        <f t="shared" si="11"/>
        <v>299083.97304357449</v>
      </c>
      <c r="T76" s="30">
        <f t="shared" si="12"/>
        <v>177421.11181042535</v>
      </c>
      <c r="U76" s="31">
        <f t="shared" si="13"/>
        <v>31500</v>
      </c>
      <c r="V76" s="30">
        <f t="shared" si="14"/>
        <v>69633.787599637028</v>
      </c>
      <c r="W76" s="38">
        <f t="shared" si="17"/>
        <v>592961.76503427839</v>
      </c>
      <c r="X76" s="69">
        <f t="shared" si="18"/>
        <v>662595.55263391533</v>
      </c>
      <c r="Y76">
        <f t="shared" si="15"/>
        <v>0</v>
      </c>
      <c r="Z76" s="30">
        <f t="shared" si="19"/>
        <v>44921.343027930881</v>
      </c>
      <c r="AA76" s="2">
        <f t="shared" ca="1" si="37"/>
        <v>24</v>
      </c>
    </row>
    <row r="77" spans="13:27" x14ac:dyDescent="0.2">
      <c r="M77" s="5">
        <f t="shared" si="38"/>
        <v>48.8</v>
      </c>
      <c r="N77" s="43">
        <f t="shared" si="39"/>
        <v>43678</v>
      </c>
      <c r="O77" s="31">
        <f t="shared" si="8"/>
        <v>49805.043544250315</v>
      </c>
      <c r="P77" s="31">
        <f t="shared" si="20"/>
        <v>31500</v>
      </c>
      <c r="Q77" s="30">
        <f t="shared" si="9"/>
        <v>6025.43009806594</v>
      </c>
      <c r="R77" s="31">
        <f t="shared" si="10"/>
        <v>16669.905481527065</v>
      </c>
      <c r="S77" s="47">
        <f t="shared" si="11"/>
        <v>301202.48451929982</v>
      </c>
      <c r="T77" s="30">
        <f t="shared" si="12"/>
        <v>178677.84468574921</v>
      </c>
      <c r="U77" s="31">
        <f t="shared" si="13"/>
        <v>31500</v>
      </c>
      <c r="V77" s="30">
        <f t="shared" si="14"/>
        <v>70402.026928467792</v>
      </c>
      <c r="W77" s="38">
        <f t="shared" si="17"/>
        <v>598286.91086993774</v>
      </c>
      <c r="X77" s="69">
        <f t="shared" si="18"/>
        <v>668688.93779840553</v>
      </c>
      <c r="Y77">
        <f t="shared" si="15"/>
        <v>0</v>
      </c>
      <c r="Z77" s="30">
        <f t="shared" si="19"/>
        <v>45906.202541045386</v>
      </c>
      <c r="AA77" s="2">
        <f t="shared" ca="1" si="37"/>
        <v>24</v>
      </c>
    </row>
    <row r="78" spans="13:27" x14ac:dyDescent="0.2">
      <c r="M78" s="5">
        <f t="shared" si="38"/>
        <v>48.9</v>
      </c>
      <c r="N78" s="43">
        <f t="shared" si="39"/>
        <v>43709</v>
      </c>
      <c r="O78" s="31">
        <f t="shared" si="8"/>
        <v>50616.162602688753</v>
      </c>
      <c r="P78" s="31">
        <f t="shared" si="20"/>
        <v>31500</v>
      </c>
      <c r="Q78" s="30">
        <f t="shared" si="9"/>
        <v>6068.11022792724</v>
      </c>
      <c r="R78" s="31">
        <f t="shared" si="10"/>
        <v>16787.98397868788</v>
      </c>
      <c r="S78" s="47">
        <f t="shared" si="11"/>
        <v>303336.00211797818</v>
      </c>
      <c r="T78" s="30">
        <f t="shared" si="12"/>
        <v>179943.47941893994</v>
      </c>
      <c r="U78" s="31">
        <f t="shared" si="13"/>
        <v>31500</v>
      </c>
      <c r="V78" s="30">
        <f t="shared" si="14"/>
        <v>71175.707952544442</v>
      </c>
      <c r="W78" s="38">
        <f t="shared" si="17"/>
        <v>603649.77648859972</v>
      </c>
      <c r="X78" s="69">
        <f t="shared" si="18"/>
        <v>674825.48444114416</v>
      </c>
      <c r="Y78">
        <f t="shared" si="15"/>
        <v>0</v>
      </c>
      <c r="Z78" s="30">
        <f t="shared" si="19"/>
        <v>46898.038142377787</v>
      </c>
      <c r="AA78" s="2">
        <f t="shared" ca="1" si="37"/>
        <v>24</v>
      </c>
    </row>
    <row r="79" spans="13:27" x14ac:dyDescent="0.2">
      <c r="M79" s="5">
        <f t="shared" si="38"/>
        <v>49</v>
      </c>
      <c r="N79" s="43">
        <f t="shared" si="39"/>
        <v>43739</v>
      </c>
      <c r="O79" s="31">
        <f t="shared" si="8"/>
        <v>51433.027087791132</v>
      </c>
      <c r="P79" s="31">
        <f t="shared" si="20"/>
        <v>31500</v>
      </c>
      <c r="Q79" s="30">
        <f t="shared" si="9"/>
        <v>6111.0926753750582</v>
      </c>
      <c r="R79" s="31">
        <f t="shared" si="10"/>
        <v>16906.898865203584</v>
      </c>
      <c r="S79" s="47">
        <f t="shared" si="11"/>
        <v>305484.63213298051</v>
      </c>
      <c r="T79" s="30">
        <f t="shared" si="12"/>
        <v>181218.07906482409</v>
      </c>
      <c r="U79" s="31">
        <f t="shared" si="13"/>
        <v>31500</v>
      </c>
      <c r="V79" s="30">
        <f t="shared" si="14"/>
        <v>71954.869217208296</v>
      </c>
      <c r="W79" s="38">
        <f t="shared" si="17"/>
        <v>609050.62907206069</v>
      </c>
      <c r="X79" s="69">
        <f t="shared" si="18"/>
        <v>681005.49828926905</v>
      </c>
      <c r="Y79">
        <f t="shared" si="15"/>
        <v>0</v>
      </c>
      <c r="Z79" s="30">
        <f t="shared" si="19"/>
        <v>47896.899245886292</v>
      </c>
      <c r="AA79" s="2">
        <f t="shared" ca="1" si="37"/>
        <v>24</v>
      </c>
    </row>
    <row r="80" spans="13:27" x14ac:dyDescent="0.2">
      <c r="M80" s="5">
        <f t="shared" si="38"/>
        <v>49</v>
      </c>
      <c r="N80" s="43">
        <f t="shared" si="39"/>
        <v>43770</v>
      </c>
      <c r="O80" s="31">
        <f t="shared" si="8"/>
        <v>52255.677696329658</v>
      </c>
      <c r="P80" s="31">
        <f t="shared" si="20"/>
        <v>31500</v>
      </c>
      <c r="Q80" s="30">
        <f t="shared" si="9"/>
        <v>6154.3795818256312</v>
      </c>
      <c r="R80" s="31">
        <f t="shared" si="10"/>
        <v>17026.656065498777</v>
      </c>
      <c r="S80" s="47">
        <f t="shared" si="11"/>
        <v>307648.48161058914</v>
      </c>
      <c r="T80" s="30">
        <f t="shared" si="12"/>
        <v>182501.7071248666</v>
      </c>
      <c r="U80" s="31">
        <f t="shared" si="13"/>
        <v>31500</v>
      </c>
      <c r="V80" s="30">
        <f t="shared" si="14"/>
        <v>72739.549540830194</v>
      </c>
      <c r="W80" s="38">
        <f t="shared" si="17"/>
        <v>614489.7376946545</v>
      </c>
      <c r="X80" s="69">
        <f t="shared" si="18"/>
        <v>687229.28723548469</v>
      </c>
      <c r="Y80">
        <f t="shared" si="15"/>
        <v>0</v>
      </c>
      <c r="Z80" s="30">
        <f t="shared" si="19"/>
        <v>48902.835615544653</v>
      </c>
      <c r="AA80" s="2">
        <f t="shared" ca="1" si="37"/>
        <v>24</v>
      </c>
    </row>
    <row r="81" spans="13:27" x14ac:dyDescent="0.2">
      <c r="M81" s="5">
        <f t="shared" si="38"/>
        <v>49.1</v>
      </c>
      <c r="N81" s="43">
        <f t="shared" si="39"/>
        <v>43800</v>
      </c>
      <c r="O81" s="31">
        <f t="shared" si="8"/>
        <v>53084.155413345332</v>
      </c>
      <c r="P81" s="31">
        <f t="shared" si="20"/>
        <v>31500</v>
      </c>
      <c r="Q81" s="30">
        <f t="shared" si="9"/>
        <v>6197.9731038635628</v>
      </c>
      <c r="R81" s="31">
        <f t="shared" si="10"/>
        <v>17147.261545962727</v>
      </c>
      <c r="S81" s="47">
        <f t="shared" si="11"/>
        <v>309827.65835533082</v>
      </c>
      <c r="T81" s="30">
        <f t="shared" si="12"/>
        <v>183794.4275503344</v>
      </c>
      <c r="U81" s="31">
        <f t="shared" si="13"/>
        <v>31500</v>
      </c>
      <c r="V81" s="30">
        <f t="shared" si="14"/>
        <v>73529.788016744409</v>
      </c>
      <c r="W81" s="38">
        <f t="shared" si="17"/>
        <v>619967.37333665823</v>
      </c>
      <c r="X81" s="69">
        <f t="shared" si="18"/>
        <v>693497.16135340265</v>
      </c>
      <c r="Y81">
        <f t="shared" si="15"/>
        <v>0</v>
      </c>
      <c r="Z81" s="30">
        <f t="shared" si="19"/>
        <v>49915.897367821424</v>
      </c>
      <c r="AA81" s="2">
        <f t="shared" ca="1" si="37"/>
        <v>24</v>
      </c>
    </row>
    <row r="82" spans="13:27" x14ac:dyDescent="0.2">
      <c r="M82" s="5">
        <f t="shared" si="38"/>
        <v>49.2</v>
      </c>
      <c r="N82" s="43">
        <f t="shared" si="39"/>
        <v>43831</v>
      </c>
      <c r="O82" s="31">
        <f t="shared" si="8"/>
        <v>54001.834847523191</v>
      </c>
      <c r="P82" s="31">
        <f t="shared" ref="P82" si="40">IF(M82&gt;50,MAX(P81,P70+$J$13),MAX(P81,P70+$I$13))</f>
        <v>37000</v>
      </c>
      <c r="Q82" s="30">
        <f t="shared" si="9"/>
        <v>6241.875413349263</v>
      </c>
      <c r="R82" s="31">
        <f t="shared" si="10"/>
        <v>17268.721315246628</v>
      </c>
      <c r="S82" s="47">
        <f t="shared" si="11"/>
        <v>312022.27093534777</v>
      </c>
      <c r="T82" s="30">
        <f t="shared" si="12"/>
        <v>185096.3047454826</v>
      </c>
      <c r="U82" s="31">
        <f t="shared" si="13"/>
        <v>31500</v>
      </c>
      <c r="V82" s="30">
        <f t="shared" si="14"/>
        <v>74325.624015196343</v>
      </c>
      <c r="W82" s="38">
        <f t="shared" si="17"/>
        <v>625567.14223112632</v>
      </c>
      <c r="X82" s="69">
        <f t="shared" si="18"/>
        <v>699892.76624632254</v>
      </c>
      <c r="Y82">
        <f t="shared" si="15"/>
        <v>0</v>
      </c>
      <c r="Z82" s="30">
        <f t="shared" si="19"/>
        <v>50936.134974176821</v>
      </c>
      <c r="AA82" s="2">
        <f t="shared" ca="1" si="37"/>
        <v>24</v>
      </c>
    </row>
    <row r="83" spans="13:27" x14ac:dyDescent="0.2">
      <c r="M83" s="5">
        <f t="shared" si="38"/>
        <v>49.3</v>
      </c>
      <c r="N83" s="43">
        <f t="shared" si="39"/>
        <v>43862</v>
      </c>
      <c r="O83" s="31">
        <f t="shared" si="8"/>
        <v>54926.014511026478</v>
      </c>
      <c r="P83" s="31">
        <f t="shared" si="20"/>
        <v>37000</v>
      </c>
      <c r="Q83" s="30">
        <f t="shared" si="9"/>
        <v>6286.0886975271533</v>
      </c>
      <c r="R83" s="31">
        <f t="shared" si="10"/>
        <v>17391.041424562958</v>
      </c>
      <c r="S83" s="47">
        <f t="shared" si="11"/>
        <v>314232.42868780647</v>
      </c>
      <c r="T83" s="30">
        <f t="shared" si="12"/>
        <v>186407.4035707631</v>
      </c>
      <c r="U83" s="31">
        <f t="shared" ref="U83" si="41">U82+$K$18</f>
        <v>33000</v>
      </c>
      <c r="V83" s="30">
        <f t="shared" si="14"/>
        <v>75127.097185303981</v>
      </c>
      <c r="W83" s="38">
        <f t="shared" si="17"/>
        <v>631206.57615526335</v>
      </c>
      <c r="X83" s="69">
        <f t="shared" si="18"/>
        <v>706333.67334056739</v>
      </c>
      <c r="Y83">
        <f t="shared" si="15"/>
        <v>0</v>
      </c>
      <c r="Z83" s="30">
        <f t="shared" si="19"/>
        <v>51963.599263577235</v>
      </c>
      <c r="AA83" s="2">
        <f t="shared" ca="1" si="37"/>
        <v>24</v>
      </c>
    </row>
    <row r="84" spans="13:27" x14ac:dyDescent="0.2">
      <c r="M84" s="5">
        <f t="shared" si="38"/>
        <v>49.4</v>
      </c>
      <c r="N84" s="43">
        <f t="shared" si="39"/>
        <v>43891</v>
      </c>
      <c r="O84" s="31">
        <f t="shared" si="8"/>
        <v>55856.740447146243</v>
      </c>
      <c r="P84" s="31">
        <f t="shared" si="20"/>
        <v>37000</v>
      </c>
      <c r="Q84" s="30">
        <f t="shared" si="9"/>
        <v>6330.615159134637</v>
      </c>
      <c r="R84" s="31">
        <f t="shared" si="10"/>
        <v>17514.227967986946</v>
      </c>
      <c r="S84" s="47">
        <f t="shared" si="11"/>
        <v>316458.24172434508</v>
      </c>
      <c r="T84" s="30">
        <f t="shared" si="12"/>
        <v>192199.69893476542</v>
      </c>
      <c r="U84" s="31">
        <f t="shared" ref="U84" si="42">U83</f>
        <v>33000</v>
      </c>
      <c r="V84" s="30">
        <f t="shared" si="14"/>
        <v>75934.247457033212</v>
      </c>
      <c r="W84" s="38">
        <f t="shared" si="17"/>
        <v>641357.86565840594</v>
      </c>
      <c r="X84" s="69">
        <f t="shared" si="18"/>
        <v>717292.11311543919</v>
      </c>
      <c r="Y84">
        <f t="shared" si="15"/>
        <v>0</v>
      </c>
      <c r="Z84" s="30">
        <f t="shared" si="19"/>
        <v>52998.341425027567</v>
      </c>
      <c r="AA84" s="2">
        <f t="shared" ca="1" si="37"/>
        <v>24</v>
      </c>
    </row>
    <row r="85" spans="13:27" x14ac:dyDescent="0.2">
      <c r="M85" s="5">
        <f t="shared" si="38"/>
        <v>49.5</v>
      </c>
      <c r="N85" s="43">
        <f t="shared" si="39"/>
        <v>43922</v>
      </c>
      <c r="O85" s="31">
        <f t="shared" si="8"/>
        <v>56794.059025313523</v>
      </c>
      <c r="P85" s="31">
        <f t="shared" si="20"/>
        <v>37000</v>
      </c>
      <c r="Q85" s="30">
        <f t="shared" si="9"/>
        <v>6375.4570165118403</v>
      </c>
      <c r="R85" s="31">
        <f t="shared" si="10"/>
        <v>17638.287082760187</v>
      </c>
      <c r="S85" s="47">
        <f t="shared" si="11"/>
        <v>318699.82093655918</v>
      </c>
      <c r="T85" s="30">
        <f t="shared" si="12"/>
        <v>193561.11346888667</v>
      </c>
      <c r="U85" s="31">
        <f t="shared" si="13"/>
        <v>33000</v>
      </c>
      <c r="V85" s="30">
        <f t="shared" si="14"/>
        <v>76747.115043187194</v>
      </c>
      <c r="W85" s="38">
        <f t="shared" si="17"/>
        <v>647109.15054015291</v>
      </c>
      <c r="X85" s="69">
        <f t="shared" si="18"/>
        <v>723856.26558334008</v>
      </c>
      <c r="Y85">
        <f t="shared" si="15"/>
        <v>0</v>
      </c>
      <c r="Z85" s="30">
        <f t="shared" si="19"/>
        <v>54040.413010121512</v>
      </c>
      <c r="AA85" s="2">
        <f t="shared" ca="1" si="37"/>
        <v>24</v>
      </c>
    </row>
    <row r="86" spans="13:27" x14ac:dyDescent="0.2">
      <c r="M86" s="5">
        <f t="shared" si="38"/>
        <v>49.5</v>
      </c>
      <c r="N86" s="43">
        <f t="shared" si="39"/>
        <v>43952</v>
      </c>
      <c r="O86" s="31">
        <f t="shared" si="8"/>
        <v>57738.016943409493</v>
      </c>
      <c r="P86" s="31">
        <f t="shared" si="20"/>
        <v>37000</v>
      </c>
      <c r="Q86" s="30">
        <f t="shared" si="9"/>
        <v>6420.6165037121327</v>
      </c>
      <c r="R86" s="31">
        <f t="shared" si="10"/>
        <v>17763.224949596406</v>
      </c>
      <c r="S86" s="47">
        <f t="shared" si="11"/>
        <v>320957.27800152649</v>
      </c>
      <c r="T86" s="30">
        <f t="shared" si="12"/>
        <v>194932.17135595795</v>
      </c>
      <c r="U86" s="31">
        <f t="shared" si="13"/>
        <v>33000</v>
      </c>
      <c r="V86" s="30">
        <f t="shared" si="14"/>
        <v>77565.740441409769</v>
      </c>
      <c r="W86" s="38">
        <f t="shared" si="17"/>
        <v>652901.17368981242</v>
      </c>
      <c r="X86" s="69">
        <f t="shared" si="18"/>
        <v>730466.91413122218</v>
      </c>
      <c r="Y86">
        <f t="shared" si="15"/>
        <v>0</v>
      </c>
      <c r="Z86" s="30">
        <f t="shared" si="19"/>
        <v>55089.865935609872</v>
      </c>
      <c r="AA86" s="2">
        <f t="shared" ca="1" si="37"/>
        <v>24</v>
      </c>
    </row>
    <row r="87" spans="13:27" x14ac:dyDescent="0.2">
      <c r="M87" s="5">
        <f t="shared" si="38"/>
        <v>49.6</v>
      </c>
      <c r="N87" s="43">
        <f t="shared" si="39"/>
        <v>43983</v>
      </c>
      <c r="O87" s="31">
        <f t="shared" si="8"/>
        <v>58688.661230091973</v>
      </c>
      <c r="P87" s="31">
        <f t="shared" si="20"/>
        <v>37000</v>
      </c>
      <c r="Q87" s="30">
        <f t="shared" si="9"/>
        <v>6466.095870613427</v>
      </c>
      <c r="R87" s="31">
        <f t="shared" si="10"/>
        <v>17889.047792989382</v>
      </c>
      <c r="S87" s="47">
        <f t="shared" si="11"/>
        <v>323230.72538737062</v>
      </c>
      <c r="T87" s="30">
        <f t="shared" si="12"/>
        <v>196312.94090306264</v>
      </c>
      <c r="U87" s="31">
        <f t="shared" si="13"/>
        <v>33000</v>
      </c>
      <c r="V87" s="30">
        <f t="shared" si="14"/>
        <v>78390.164436203093</v>
      </c>
      <c r="W87" s="38">
        <f t="shared" si="17"/>
        <v>658734.22367011511</v>
      </c>
      <c r="X87" s="69">
        <f t="shared" si="18"/>
        <v>737124.38810631819</v>
      </c>
      <c r="Y87">
        <f t="shared" si="15"/>
        <v>0</v>
      </c>
      <c r="Z87" s="30">
        <f t="shared" si="19"/>
        <v>56146.752485987105</v>
      </c>
      <c r="AA87" s="2">
        <f t="shared" ca="1" si="37"/>
        <v>24</v>
      </c>
    </row>
    <row r="88" spans="13:27" x14ac:dyDescent="0.2">
      <c r="M88" s="5">
        <f t="shared" si="38"/>
        <v>49.7</v>
      </c>
      <c r="N88" s="43">
        <f t="shared" si="39"/>
        <v>44013</v>
      </c>
      <c r="O88" s="31">
        <f t="shared" si="8"/>
        <v>59646.039247138455</v>
      </c>
      <c r="P88" s="31">
        <f t="shared" si="20"/>
        <v>37000</v>
      </c>
      <c r="Q88" s="30">
        <f t="shared" si="9"/>
        <v>6511.8973830302721</v>
      </c>
      <c r="R88" s="31">
        <f t="shared" si="10"/>
        <v>18015.761881523056</v>
      </c>
      <c r="S88" s="47">
        <f t="shared" si="11"/>
        <v>325520.2763588645</v>
      </c>
      <c r="T88" s="30">
        <f t="shared" si="12"/>
        <v>197703.490901126</v>
      </c>
      <c r="U88" s="31">
        <f t="shared" ref="U88:U151" si="43">U87</f>
        <v>33000</v>
      </c>
      <c r="V88" s="30">
        <f t="shared" si="14"/>
        <v>79220.428100959529</v>
      </c>
      <c r="W88" s="38">
        <f t="shared" si="17"/>
        <v>664608.59108777856</v>
      </c>
      <c r="X88" s="69">
        <f t="shared" si="18"/>
        <v>743829.01918873796</v>
      </c>
      <c r="Y88">
        <f t="shared" si="15"/>
        <v>0</v>
      </c>
      <c r="Z88" s="30">
        <f t="shared" si="19"/>
        <v>57211.125316096179</v>
      </c>
      <c r="AA88" s="2">
        <f t="shared" ca="1" si="37"/>
        <v>24</v>
      </c>
    </row>
    <row r="89" spans="13:27" x14ac:dyDescent="0.2">
      <c r="M89" s="5">
        <f t="shared" si="38"/>
        <v>49.8</v>
      </c>
      <c r="N89" s="43">
        <f t="shared" si="39"/>
        <v>44044</v>
      </c>
      <c r="O89" s="31">
        <f t="shared" ref="O89:O152" si="44">IF(YEAR(N89)&lt;2020,O88*(1+$J$23/12)+$I$13/12,O88*(1+$J$23/12)+$J$13/12)</f>
        <v>60610.198691805686</v>
      </c>
      <c r="P89" s="31">
        <f t="shared" si="20"/>
        <v>37000</v>
      </c>
      <c r="Q89" s="30">
        <f t="shared" ref="Q89:Q152" si="45">Q88*(1+$J$23/12)+$I$19/12</f>
        <v>6558.0233228267361</v>
      </c>
      <c r="R89" s="31">
        <f t="shared" ref="R89:R152" si="46">IF(YEAR(N89)&lt;2020,R88*(1+$J$23/12)+$I$14/12,R88*(1+$J$23/12)+$J$14/12)</f>
        <v>18143.373528183845</v>
      </c>
      <c r="S89" s="47">
        <f t="shared" ref="S89:S152" si="47">S88*(1+$J$23/12)+$I$15/12</f>
        <v>327826.04498307314</v>
      </c>
      <c r="T89" s="30">
        <f t="shared" ref="T89:T152" si="48">IF(MONTH(N89)=3,T88*(1+$J$23/12)+(0.05*($J$42*((1+$J$43)^(YEAR(N89)-2014)))),T88*(1+$J$23/12))</f>
        <v>199103.89062834231</v>
      </c>
      <c r="U89" s="31">
        <f t="shared" si="43"/>
        <v>33000</v>
      </c>
      <c r="V89" s="30">
        <f t="shared" ref="V89:V152" si="49">IF(YEAR(N89)&lt;2025,V88*(1+$J$23/12)+$I$16/12,V88*(1+$J$23/12)+$K$16/12)</f>
        <v>80056.572800007998</v>
      </c>
      <c r="W89" s="38">
        <f t="shared" si="17"/>
        <v>670524.56860798365</v>
      </c>
      <c r="X89" s="69">
        <f t="shared" si="18"/>
        <v>750581.14140799164</v>
      </c>
      <c r="Y89">
        <f t="shared" ref="Y89:Y152" si="50">IF(N89=$J$21,ROW(N89),Y88)</f>
        <v>0</v>
      </c>
      <c r="Z89" s="30">
        <f t="shared" si="19"/>
        <v>58283.037453751858</v>
      </c>
      <c r="AA89" s="2">
        <f t="shared" ca="1" si="37"/>
        <v>24</v>
      </c>
    </row>
    <row r="90" spans="13:27" x14ac:dyDescent="0.2">
      <c r="M90" s="5">
        <f t="shared" si="38"/>
        <v>49.9</v>
      </c>
      <c r="N90" s="43">
        <f t="shared" si="39"/>
        <v>44075</v>
      </c>
      <c r="O90" s="31">
        <f t="shared" si="44"/>
        <v>61581.187599205972</v>
      </c>
      <c r="P90" s="31">
        <f t="shared" si="20"/>
        <v>37000</v>
      </c>
      <c r="Q90" s="30">
        <f t="shared" si="45"/>
        <v>6604.4759880300926</v>
      </c>
      <c r="R90" s="31">
        <f t="shared" si="46"/>
        <v>18271.889090675148</v>
      </c>
      <c r="S90" s="47">
        <f t="shared" si="47"/>
        <v>330148.14613503654</v>
      </c>
      <c r="T90" s="30">
        <f t="shared" si="48"/>
        <v>200514.20985362641</v>
      </c>
      <c r="U90" s="31">
        <f t="shared" si="43"/>
        <v>33000</v>
      </c>
      <c r="V90" s="30">
        <f t="shared" si="49"/>
        <v>80898.64019067472</v>
      </c>
      <c r="W90" s="38">
        <f t="shared" ref="W90:W153" si="51">O90+Q90+R90+S90+T90+Z90</f>
        <v>676482.45096895681</v>
      </c>
      <c r="X90" s="69">
        <f t="shared" ref="X90:X102" si="52">O90+Q90+R90+S90+T90+V90+Z90</f>
        <v>757381.0911596315</v>
      </c>
      <c r="Y90">
        <f t="shared" si="50"/>
        <v>0</v>
      </c>
      <c r="Z90" s="30">
        <f t="shared" ref="Z90:Z153" si="53">Z89*(1+$J$23/12)+IF(M90&lt;50,$I$20/12,$J$20/12)</f>
        <v>59362.542302382601</v>
      </c>
      <c r="AA90" s="2">
        <f t="shared" ca="1" si="37"/>
        <v>24</v>
      </c>
    </row>
    <row r="91" spans="13:27" x14ac:dyDescent="0.2">
      <c r="M91" s="5">
        <f t="shared" si="38"/>
        <v>50</v>
      </c>
      <c r="N91" s="43">
        <f t="shared" si="39"/>
        <v>44105</v>
      </c>
      <c r="O91" s="31">
        <f t="shared" si="44"/>
        <v>62559.054344700344</v>
      </c>
      <c r="P91" s="31">
        <f t="shared" si="20"/>
        <v>37000</v>
      </c>
      <c r="Q91" s="30">
        <f t="shared" si="45"/>
        <v>6651.2576929453053</v>
      </c>
      <c r="R91" s="31">
        <f t="shared" si="46"/>
        <v>18401.314971734097</v>
      </c>
      <c r="S91" s="47">
        <f t="shared" si="47"/>
        <v>332486.69550349307</v>
      </c>
      <c r="T91" s="30">
        <f t="shared" si="48"/>
        <v>201934.51884008959</v>
      </c>
      <c r="U91" s="31">
        <f t="shared" si="43"/>
        <v>33000</v>
      </c>
      <c r="V91" s="30">
        <f t="shared" si="49"/>
        <v>81746.672225358663</v>
      </c>
      <c r="W91" s="38">
        <f t="shared" si="51"/>
        <v>682399.20166332019</v>
      </c>
      <c r="X91" s="69">
        <f t="shared" si="52"/>
        <v>764145.87388867885</v>
      </c>
      <c r="Y91">
        <f t="shared" si="50"/>
        <v>0</v>
      </c>
      <c r="Z91" s="30">
        <f t="shared" si="53"/>
        <v>60366.360310357813</v>
      </c>
      <c r="AA91" s="2">
        <f t="shared" ca="1" si="37"/>
        <v>24</v>
      </c>
    </row>
    <row r="92" spans="13:27" x14ac:dyDescent="0.2">
      <c r="M92" s="5">
        <f t="shared" si="38"/>
        <v>50</v>
      </c>
      <c r="N92" s="43">
        <f t="shared" si="39"/>
        <v>44136</v>
      </c>
      <c r="O92" s="31">
        <f t="shared" si="44"/>
        <v>63543.847646308634</v>
      </c>
      <c r="P92" s="31">
        <f t="shared" si="20"/>
        <v>37000</v>
      </c>
      <c r="Q92" s="30">
        <f t="shared" si="45"/>
        <v>6698.3707682703343</v>
      </c>
      <c r="R92" s="31">
        <f t="shared" si="46"/>
        <v>18531.657619450547</v>
      </c>
      <c r="S92" s="47">
        <f t="shared" si="47"/>
        <v>334841.80959664279</v>
      </c>
      <c r="T92" s="30">
        <f t="shared" si="48"/>
        <v>203364.88834854023</v>
      </c>
      <c r="U92" s="31">
        <f t="shared" si="43"/>
        <v>33000</v>
      </c>
      <c r="V92" s="30">
        <f t="shared" si="49"/>
        <v>82600.711153621625</v>
      </c>
      <c r="W92" s="38">
        <f t="shared" si="51"/>
        <v>688357.86267510208</v>
      </c>
      <c r="X92" s="69">
        <f t="shared" si="52"/>
        <v>770958.57382872375</v>
      </c>
      <c r="Y92">
        <f t="shared" si="50"/>
        <v>0</v>
      </c>
      <c r="Z92" s="30">
        <f t="shared" si="53"/>
        <v>61377.288695889518</v>
      </c>
      <c r="AA92" s="2">
        <f t="shared" ca="1" si="37"/>
        <v>24</v>
      </c>
    </row>
    <row r="93" spans="13:27" x14ac:dyDescent="0.2">
      <c r="M93" s="5">
        <f t="shared" si="38"/>
        <v>50.1</v>
      </c>
      <c r="N93" s="43">
        <f t="shared" ref="N93:N156" si="54">DATE(YEAR(N92),MONTH(N92)+1,1)</f>
        <v>44166</v>
      </c>
      <c r="O93" s="31">
        <f t="shared" si="44"/>
        <v>64535.616567136647</v>
      </c>
      <c r="P93" s="31">
        <f t="shared" si="20"/>
        <v>37000</v>
      </c>
      <c r="Q93" s="30">
        <f t="shared" si="45"/>
        <v>6745.8175612122495</v>
      </c>
      <c r="R93" s="31">
        <f t="shared" si="46"/>
        <v>18662.923527588322</v>
      </c>
      <c r="S93" s="47">
        <f t="shared" si="47"/>
        <v>337213.60574795236</v>
      </c>
      <c r="T93" s="30">
        <f t="shared" si="48"/>
        <v>204805.38964100907</v>
      </c>
      <c r="U93" s="31">
        <f t="shared" si="43"/>
        <v>33000</v>
      </c>
      <c r="V93" s="30">
        <f t="shared" si="49"/>
        <v>83460.799524293107</v>
      </c>
      <c r="W93" s="38">
        <f t="shared" si="51"/>
        <v>694358.73086905072</v>
      </c>
      <c r="X93" s="69">
        <f t="shared" si="52"/>
        <v>777819.53039334388</v>
      </c>
      <c r="Y93">
        <f t="shared" si="50"/>
        <v>0</v>
      </c>
      <c r="Z93" s="30">
        <f t="shared" si="53"/>
        <v>62395.37782415207</v>
      </c>
      <c r="AA93" s="2">
        <f t="shared" ca="1" si="37"/>
        <v>24</v>
      </c>
    </row>
    <row r="94" spans="13:27" x14ac:dyDescent="0.2">
      <c r="M94" s="5">
        <f t="shared" si="38"/>
        <v>50.2</v>
      </c>
      <c r="N94" s="43">
        <f t="shared" si="54"/>
        <v>44197</v>
      </c>
      <c r="O94" s="31">
        <f t="shared" si="44"/>
        <v>65534.410517820528</v>
      </c>
      <c r="P94" s="31">
        <f t="shared" ref="P94" si="55">IF(M94&gt;50,MAX(P93,P82+$J$13),MAX(P93,P82+$I$13))</f>
        <v>43500</v>
      </c>
      <c r="Q94" s="30">
        <f t="shared" si="45"/>
        <v>6793.6004356041694</v>
      </c>
      <c r="R94" s="31">
        <f t="shared" si="46"/>
        <v>18795.11923590874</v>
      </c>
      <c r="S94" s="47">
        <f t="shared" si="47"/>
        <v>339602.20212200034</v>
      </c>
      <c r="T94" s="30">
        <f t="shared" si="48"/>
        <v>206256.09448429954</v>
      </c>
      <c r="U94" s="31">
        <f t="shared" si="43"/>
        <v>33000</v>
      </c>
      <c r="V94" s="30">
        <f t="shared" si="49"/>
        <v>84326.980187590176</v>
      </c>
      <c r="W94" s="38">
        <f t="shared" si="51"/>
        <v>700402.10521270637</v>
      </c>
      <c r="X94" s="69">
        <f t="shared" si="52"/>
        <v>784729.08540029661</v>
      </c>
      <c r="Y94">
        <f t="shared" si="50"/>
        <v>0</v>
      </c>
      <c r="Z94" s="30">
        <f t="shared" si="53"/>
        <v>63420.678417073148</v>
      </c>
      <c r="AA94" s="2">
        <f t="shared" ca="1" si="37"/>
        <v>24</v>
      </c>
    </row>
    <row r="95" spans="13:27" x14ac:dyDescent="0.2">
      <c r="M95" s="5">
        <f t="shared" si="38"/>
        <v>50.3</v>
      </c>
      <c r="N95" s="43">
        <f t="shared" si="54"/>
        <v>44228</v>
      </c>
      <c r="O95" s="31">
        <f t="shared" si="44"/>
        <v>66540.279258988434</v>
      </c>
      <c r="P95" s="31">
        <f t="shared" si="20"/>
        <v>43500</v>
      </c>
      <c r="Q95" s="30">
        <f t="shared" si="45"/>
        <v>6841.7217720230319</v>
      </c>
      <c r="R95" s="31">
        <f t="shared" si="46"/>
        <v>18928.251330496427</v>
      </c>
      <c r="S95" s="47">
        <f t="shared" si="47"/>
        <v>342007.71772036451</v>
      </c>
      <c r="T95" s="30">
        <f t="shared" si="48"/>
        <v>207717.07515356332</v>
      </c>
      <c r="U95" s="31">
        <f t="shared" ref="U95" si="56">U94+$K$18</f>
        <v>34500</v>
      </c>
      <c r="V95" s="30">
        <f t="shared" si="49"/>
        <v>85199.296297252266</v>
      </c>
      <c r="W95" s="38">
        <f t="shared" si="51"/>
        <v>706488.28679129644</v>
      </c>
      <c r="X95" s="69">
        <f t="shared" si="52"/>
        <v>791687.58308854874</v>
      </c>
      <c r="Y95">
        <f t="shared" si="50"/>
        <v>0</v>
      </c>
      <c r="Z95" s="30">
        <f t="shared" si="53"/>
        <v>64453.241555860754</v>
      </c>
      <c r="AA95" s="2">
        <f t="shared" ca="1" si="37"/>
        <v>24</v>
      </c>
    </row>
    <row r="96" spans="13:27" x14ac:dyDescent="0.2">
      <c r="M96" s="5">
        <f t="shared" si="38"/>
        <v>50.4</v>
      </c>
      <c r="N96" s="43">
        <f t="shared" si="54"/>
        <v>44256</v>
      </c>
      <c r="O96" s="31">
        <f t="shared" si="44"/>
        <v>67553.272903739606</v>
      </c>
      <c r="P96" s="31">
        <f t="shared" si="20"/>
        <v>43500</v>
      </c>
      <c r="Q96" s="30">
        <f t="shared" si="45"/>
        <v>6890.183967908195</v>
      </c>
      <c r="R96" s="31">
        <f t="shared" si="46"/>
        <v>19062.326444087445</v>
      </c>
      <c r="S96" s="47">
        <f t="shared" si="47"/>
        <v>344430.27238755045</v>
      </c>
      <c r="T96" s="30">
        <f t="shared" si="48"/>
        <v>213727.39266844111</v>
      </c>
      <c r="U96" s="31">
        <f t="shared" ref="U96" si="57">U95</f>
        <v>34500</v>
      </c>
      <c r="V96" s="30">
        <f t="shared" si="49"/>
        <v>86077.79131269113</v>
      </c>
      <c r="W96" s="38">
        <f t="shared" si="51"/>
        <v>717156.56705527485</v>
      </c>
      <c r="X96" s="69">
        <f t="shared" si="52"/>
        <v>803234.35836796602</v>
      </c>
      <c r="Y96">
        <f t="shared" si="50"/>
        <v>0</v>
      </c>
      <c r="Z96" s="30">
        <f t="shared" si="53"/>
        <v>65493.118683548106</v>
      </c>
      <c r="AA96" s="2">
        <f t="shared" ca="1" si="37"/>
        <v>24</v>
      </c>
    </row>
    <row r="97" spans="12:27" x14ac:dyDescent="0.2">
      <c r="M97" s="5">
        <f t="shared" si="38"/>
        <v>50.5</v>
      </c>
      <c r="N97" s="43">
        <f t="shared" si="54"/>
        <v>44287</v>
      </c>
      <c r="O97" s="31">
        <f t="shared" si="44"/>
        <v>68573.441920141093</v>
      </c>
      <c r="P97" s="31">
        <f t="shared" si="20"/>
        <v>43500</v>
      </c>
      <c r="Q97" s="30">
        <f t="shared" si="45"/>
        <v>6938.9894376808779</v>
      </c>
      <c r="R97" s="31">
        <f t="shared" si="46"/>
        <v>19197.351256399732</v>
      </c>
      <c r="S97" s="47">
        <f t="shared" si="47"/>
        <v>346869.98681696225</v>
      </c>
      <c r="T97" s="30">
        <f t="shared" si="48"/>
        <v>215241.29503317591</v>
      </c>
      <c r="U97" s="31">
        <f t="shared" si="43"/>
        <v>34500</v>
      </c>
      <c r="V97" s="30">
        <f t="shared" si="49"/>
        <v>86962.509001156024</v>
      </c>
      <c r="W97" s="38">
        <f t="shared" si="51"/>
        <v>723361.42607191636</v>
      </c>
      <c r="X97" s="69">
        <f t="shared" si="52"/>
        <v>810323.93507307244</v>
      </c>
      <c r="Y97">
        <f t="shared" si="50"/>
        <v>0</v>
      </c>
      <c r="Z97" s="30">
        <f t="shared" si="53"/>
        <v>66540.361607556566</v>
      </c>
      <c r="AA97" s="2">
        <f t="shared" ca="1" si="37"/>
        <v>24</v>
      </c>
    </row>
    <row r="98" spans="12:27" x14ac:dyDescent="0.2">
      <c r="M98" s="5">
        <f t="shared" si="38"/>
        <v>50.5</v>
      </c>
      <c r="N98" s="43">
        <f t="shared" si="54"/>
        <v>44317</v>
      </c>
      <c r="O98" s="31">
        <f t="shared" si="44"/>
        <v>69600.837133742098</v>
      </c>
      <c r="P98" s="31">
        <f t="shared" si="20"/>
        <v>43500</v>
      </c>
      <c r="Q98" s="30">
        <f t="shared" si="45"/>
        <v>6988.1406128644512</v>
      </c>
      <c r="R98" s="31">
        <f t="shared" si="46"/>
        <v>19333.332494465896</v>
      </c>
      <c r="S98" s="47">
        <f t="shared" si="47"/>
        <v>349326.98255691573</v>
      </c>
      <c r="T98" s="30">
        <f t="shared" si="48"/>
        <v>216765.92087299423</v>
      </c>
      <c r="U98" s="31">
        <f t="shared" si="43"/>
        <v>34500</v>
      </c>
      <c r="V98" s="30">
        <f t="shared" si="49"/>
        <v>87853.493439914208</v>
      </c>
      <c r="W98" s="38">
        <f t="shared" si="51"/>
        <v>729610.23617325909</v>
      </c>
      <c r="X98" s="69">
        <f t="shared" si="52"/>
        <v>817463.72961317329</v>
      </c>
      <c r="Y98">
        <f t="shared" si="50"/>
        <v>0</v>
      </c>
      <c r="Z98" s="30">
        <f t="shared" si="53"/>
        <v>67595.022502276755</v>
      </c>
      <c r="AA98" s="2">
        <f t="shared" ca="1" si="37"/>
        <v>24</v>
      </c>
    </row>
    <row r="99" spans="12:27" x14ac:dyDescent="0.2">
      <c r="M99" s="5">
        <f t="shared" si="38"/>
        <v>50.6</v>
      </c>
      <c r="N99" s="43">
        <f t="shared" si="54"/>
        <v>44348</v>
      </c>
      <c r="O99" s="31">
        <f t="shared" si="44"/>
        <v>70635.509730106103</v>
      </c>
      <c r="P99" s="31">
        <f t="shared" ref="P99:P162" si="58">P98</f>
        <v>43500</v>
      </c>
      <c r="Q99" s="30">
        <f t="shared" si="45"/>
        <v>7037.6399422055747</v>
      </c>
      <c r="R99" s="31">
        <f t="shared" si="46"/>
        <v>19470.276932968362</v>
      </c>
      <c r="S99" s="47">
        <f t="shared" si="47"/>
        <v>351801.38201669388</v>
      </c>
      <c r="T99" s="30">
        <f t="shared" si="48"/>
        <v>218301.34614584461</v>
      </c>
      <c r="U99" s="31">
        <f t="shared" si="43"/>
        <v>34500</v>
      </c>
      <c r="V99" s="30">
        <f t="shared" si="49"/>
        <v>88750.789018446929</v>
      </c>
      <c r="W99" s="38">
        <f t="shared" si="51"/>
        <v>735903.30867948639</v>
      </c>
      <c r="X99" s="69">
        <f t="shared" si="52"/>
        <v>824654.09769793332</v>
      </c>
      <c r="Y99">
        <f t="shared" si="50"/>
        <v>0</v>
      </c>
      <c r="Z99" s="30">
        <f t="shared" si="53"/>
        <v>68657.153911667876</v>
      </c>
      <c r="AA99" s="2">
        <f t="shared" ca="1" si="37"/>
        <v>24</v>
      </c>
    </row>
    <row r="100" spans="12:27" x14ac:dyDescent="0.2">
      <c r="M100" s="5">
        <f t="shared" si="38"/>
        <v>50.7</v>
      </c>
      <c r="N100" s="43">
        <f t="shared" si="54"/>
        <v>44378</v>
      </c>
      <c r="O100" s="31">
        <f t="shared" si="44"/>
        <v>71677.511257361024</v>
      </c>
      <c r="P100" s="31">
        <f t="shared" si="58"/>
        <v>43500</v>
      </c>
      <c r="Q100" s="30">
        <f t="shared" si="45"/>
        <v>7087.4898917961973</v>
      </c>
      <c r="R100" s="31">
        <f t="shared" si="46"/>
        <v>19608.191394576887</v>
      </c>
      <c r="S100" s="47">
        <f t="shared" si="47"/>
        <v>354293.30847264547</v>
      </c>
      <c r="T100" s="30">
        <f t="shared" si="48"/>
        <v>219847.647347711</v>
      </c>
      <c r="U100" s="31">
        <f t="shared" si="43"/>
        <v>34500</v>
      </c>
      <c r="V100" s="30">
        <f t="shared" si="49"/>
        <v>89654.440440660925</v>
      </c>
      <c r="W100" s="38">
        <f t="shared" si="51"/>
        <v>742240.95711596613</v>
      </c>
      <c r="X100" s="69">
        <f t="shared" si="52"/>
        <v>831895.39755662705</v>
      </c>
      <c r="Y100">
        <f t="shared" si="50"/>
        <v>0</v>
      </c>
      <c r="Z100" s="30">
        <f t="shared" si="53"/>
        <v>69726.80875187552</v>
      </c>
      <c r="AA100" s="2">
        <f t="shared" ca="1" si="37"/>
        <v>24</v>
      </c>
    </row>
    <row r="101" spans="12:27" x14ac:dyDescent="0.2">
      <c r="M101" s="5">
        <f t="shared" si="38"/>
        <v>50.8</v>
      </c>
      <c r="N101" s="43">
        <f t="shared" si="54"/>
        <v>44409</v>
      </c>
      <c r="O101" s="31">
        <f t="shared" si="44"/>
        <v>72726.893628767342</v>
      </c>
      <c r="P101" s="31">
        <f t="shared" si="58"/>
        <v>43500</v>
      </c>
      <c r="Q101" s="30">
        <f t="shared" si="45"/>
        <v>7137.6929451964206</v>
      </c>
      <c r="R101" s="31">
        <f t="shared" si="46"/>
        <v>19747.082750288471</v>
      </c>
      <c r="S101" s="47">
        <f t="shared" si="47"/>
        <v>356802.8860743267</v>
      </c>
      <c r="T101" s="30">
        <f t="shared" si="48"/>
        <v>221404.90151642394</v>
      </c>
      <c r="U101" s="31">
        <f t="shared" si="43"/>
        <v>34500</v>
      </c>
      <c r="V101" s="30">
        <f t="shared" si="49"/>
        <v>90564.492727115605</v>
      </c>
      <c r="W101" s="38">
        <f t="shared" si="51"/>
        <v>748623.49722887087</v>
      </c>
      <c r="X101" s="69">
        <f t="shared" si="52"/>
        <v>839187.9899559865</v>
      </c>
      <c r="Y101">
        <f t="shared" si="50"/>
        <v>0</v>
      </c>
      <c r="Z101" s="30">
        <f t="shared" si="53"/>
        <v>70804.040313867969</v>
      </c>
      <c r="AA101" s="2">
        <f t="shared" ca="1" si="37"/>
        <v>24</v>
      </c>
    </row>
    <row r="102" spans="12:27" x14ac:dyDescent="0.2">
      <c r="M102" s="5">
        <f t="shared" si="38"/>
        <v>50.9</v>
      </c>
      <c r="N102" s="43">
        <f t="shared" si="54"/>
        <v>44440</v>
      </c>
      <c r="O102" s="31">
        <f t="shared" si="44"/>
        <v>73783.709125304449</v>
      </c>
      <c r="P102" s="31">
        <f t="shared" si="58"/>
        <v>43500</v>
      </c>
      <c r="Q102" s="30">
        <f t="shared" si="45"/>
        <v>7188.2516035582285</v>
      </c>
      <c r="R102" s="31">
        <f t="shared" si="46"/>
        <v>19886.95791976968</v>
      </c>
      <c r="S102" s="47">
        <f t="shared" si="47"/>
        <v>359330.23985068651</v>
      </c>
      <c r="T102" s="30">
        <f t="shared" si="48"/>
        <v>222973.18623549861</v>
      </c>
      <c r="U102" s="31">
        <f t="shared" si="43"/>
        <v>34500</v>
      </c>
      <c r="V102" s="30">
        <f t="shared" si="49"/>
        <v>91480.991217266012</v>
      </c>
      <c r="W102" s="38">
        <f t="shared" si="51"/>
        <v>755051.24700090871</v>
      </c>
      <c r="X102" s="69">
        <f t="shared" si="52"/>
        <v>846532.23821817478</v>
      </c>
      <c r="Y102">
        <f t="shared" si="50"/>
        <v>0</v>
      </c>
      <c r="Z102" s="30">
        <f t="shared" si="53"/>
        <v>71888.902266091201</v>
      </c>
      <c r="AA102" s="2">
        <f t="shared" ca="1" si="37"/>
        <v>24</v>
      </c>
    </row>
    <row r="103" spans="12:27" x14ac:dyDescent="0.2">
      <c r="L103" s="65"/>
      <c r="M103" s="5">
        <f t="shared" si="38"/>
        <v>51</v>
      </c>
      <c r="N103" s="43">
        <f t="shared" si="54"/>
        <v>44470</v>
      </c>
      <c r="O103" s="31">
        <f t="shared" si="44"/>
        <v>74848.010398275364</v>
      </c>
      <c r="P103" s="31">
        <f t="shared" si="58"/>
        <v>43500</v>
      </c>
      <c r="Q103" s="30">
        <f t="shared" si="45"/>
        <v>7239.1683857500993</v>
      </c>
      <c r="R103" s="31">
        <f t="shared" si="46"/>
        <v>20027.823871701381</v>
      </c>
      <c r="S103" s="47">
        <f t="shared" si="47"/>
        <v>361875.49571629555</v>
      </c>
      <c r="T103" s="30">
        <f t="shared" si="48"/>
        <v>224552.57963800005</v>
      </c>
      <c r="U103" s="31">
        <f t="shared" si="43"/>
        <v>34500</v>
      </c>
      <c r="V103" s="30">
        <f t="shared" si="49"/>
        <v>92403.981571721641</v>
      </c>
      <c r="W103" s="38">
        <f t="shared" si="51"/>
        <v>761524.5266671651</v>
      </c>
      <c r="X103" s="69">
        <f>O103+Q103+R103+S103+T103+V103+Z103+U103</f>
        <v>888428.50823888672</v>
      </c>
      <c r="Y103">
        <f t="shared" si="50"/>
        <v>0</v>
      </c>
      <c r="Z103" s="30">
        <f t="shared" si="53"/>
        <v>72981.448657142682</v>
      </c>
      <c r="AA103" s="2">
        <f t="shared" ca="1" si="37"/>
        <v>24</v>
      </c>
    </row>
    <row r="104" spans="12:27" x14ac:dyDescent="0.2">
      <c r="M104" s="5">
        <f t="shared" si="38"/>
        <v>51</v>
      </c>
      <c r="N104" s="43">
        <f t="shared" si="54"/>
        <v>44501</v>
      </c>
      <c r="O104" s="31">
        <f t="shared" si="44"/>
        <v>75919.850471929822</v>
      </c>
      <c r="P104" s="31">
        <f t="shared" si="58"/>
        <v>43500</v>
      </c>
      <c r="Q104" s="30">
        <f t="shared" si="45"/>
        <v>7290.4458284824959</v>
      </c>
      <c r="R104" s="31">
        <f t="shared" si="46"/>
        <v>20169.687624125931</v>
      </c>
      <c r="S104" s="47">
        <f t="shared" si="47"/>
        <v>364438.78047761932</v>
      </c>
      <c r="T104" s="30">
        <f t="shared" si="48"/>
        <v>226143.1604104359</v>
      </c>
      <c r="U104" s="31">
        <f t="shared" si="43"/>
        <v>34500</v>
      </c>
      <c r="V104" s="30">
        <f t="shared" si="49"/>
        <v>93333.509774521342</v>
      </c>
      <c r="W104" s="38">
        <f t="shared" si="51"/>
        <v>768043.65873105754</v>
      </c>
      <c r="X104" s="69">
        <f t="shared" ref="X104:X167" si="59">O104+Q104+R104+S104+T104+V104+Z104+U104</f>
        <v>895877.168505579</v>
      </c>
      <c r="Y104">
        <f t="shared" si="50"/>
        <v>0</v>
      </c>
      <c r="Z104" s="30">
        <f t="shared" si="53"/>
        <v>74081.733918464102</v>
      </c>
      <c r="AA104" s="2">
        <f t="shared" ca="1" si="37"/>
        <v>24</v>
      </c>
    </row>
    <row r="105" spans="12:27" x14ac:dyDescent="0.2">
      <c r="M105" s="5">
        <f t="shared" si="38"/>
        <v>51.1</v>
      </c>
      <c r="N105" s="43">
        <f t="shared" si="54"/>
        <v>44531</v>
      </c>
      <c r="O105" s="31">
        <f t="shared" si="44"/>
        <v>76999.282746105993</v>
      </c>
      <c r="P105" s="31">
        <f t="shared" si="58"/>
        <v>43500</v>
      </c>
      <c r="Q105" s="30">
        <f t="shared" si="45"/>
        <v>7342.0864864342466</v>
      </c>
      <c r="R105" s="31">
        <f t="shared" si="46"/>
        <v>20312.556244796822</v>
      </c>
      <c r="S105" s="47">
        <f t="shared" si="47"/>
        <v>367020.22183933581</v>
      </c>
      <c r="T105" s="30">
        <f t="shared" si="48"/>
        <v>227745.00779667648</v>
      </c>
      <c r="U105" s="31">
        <f t="shared" si="43"/>
        <v>34500</v>
      </c>
      <c r="V105" s="30">
        <f t="shared" si="49"/>
        <v>94269.622135424201</v>
      </c>
      <c r="W105" s="38">
        <f t="shared" si="51"/>
        <v>774608.96798040252</v>
      </c>
      <c r="X105" s="69">
        <f t="shared" si="59"/>
        <v>903378.59011582669</v>
      </c>
      <c r="Y105">
        <f t="shared" si="50"/>
        <v>0</v>
      </c>
      <c r="Z105" s="30">
        <f t="shared" si="53"/>
        <v>75189.812867053217</v>
      </c>
      <c r="AA105" s="2">
        <f t="shared" ca="1" si="37"/>
        <v>24</v>
      </c>
    </row>
    <row r="106" spans="12:27" x14ac:dyDescent="0.2">
      <c r="M106" s="5">
        <f t="shared" si="38"/>
        <v>51.2</v>
      </c>
      <c r="N106" s="43">
        <f t="shared" si="54"/>
        <v>44562</v>
      </c>
      <c r="O106" s="31">
        <f t="shared" si="44"/>
        <v>78086.360998890916</v>
      </c>
      <c r="P106" s="31">
        <f t="shared" ref="P106" si="60">IF(M106&gt;50,MAX(P105,P94+$J$13),MAX(P105,P94+$I$13))</f>
        <v>50000</v>
      </c>
      <c r="Q106" s="30">
        <f t="shared" si="45"/>
        <v>7394.0929323798227</v>
      </c>
      <c r="R106" s="31">
        <f t="shared" si="46"/>
        <v>20456.436851530802</v>
      </c>
      <c r="S106" s="47">
        <f t="shared" si="47"/>
        <v>369619.94841069775</v>
      </c>
      <c r="T106" s="30">
        <f t="shared" si="48"/>
        <v>229358.20160190293</v>
      </c>
      <c r="U106" s="31">
        <f t="shared" si="43"/>
        <v>34500</v>
      </c>
      <c r="V106" s="30">
        <f t="shared" si="49"/>
        <v>95212.365292216782</v>
      </c>
      <c r="W106" s="38">
        <f t="shared" si="51"/>
        <v>781220.78150359704</v>
      </c>
      <c r="X106" s="69">
        <f t="shared" si="59"/>
        <v>910933.14679581381</v>
      </c>
      <c r="Y106">
        <f t="shared" si="50"/>
        <v>0</v>
      </c>
      <c r="Z106" s="30">
        <f t="shared" si="53"/>
        <v>76305.740708194833</v>
      </c>
      <c r="AA106" s="2">
        <f t="shared" ca="1" si="37"/>
        <v>24</v>
      </c>
    </row>
    <row r="107" spans="12:27" x14ac:dyDescent="0.2">
      <c r="M107" s="5">
        <f t="shared" si="38"/>
        <v>51.3</v>
      </c>
      <c r="N107" s="43">
        <f t="shared" si="54"/>
        <v>44593</v>
      </c>
      <c r="O107" s="31">
        <f t="shared" si="44"/>
        <v>79181.139389299729</v>
      </c>
      <c r="P107" s="31">
        <f t="shared" si="58"/>
        <v>50000</v>
      </c>
      <c r="Q107" s="30">
        <f t="shared" si="45"/>
        <v>7446.4677573175131</v>
      </c>
      <c r="R107" s="31">
        <f t="shared" si="46"/>
        <v>20601.336612562478</v>
      </c>
      <c r="S107" s="47">
        <f t="shared" si="47"/>
        <v>372238.08971194021</v>
      </c>
      <c r="T107" s="30">
        <f t="shared" si="48"/>
        <v>230982.82219658306</v>
      </c>
      <c r="U107" s="31">
        <f t="shared" ref="U107" si="61">U106+$K$18</f>
        <v>36000</v>
      </c>
      <c r="V107" s="30">
        <f t="shared" si="49"/>
        <v>96161.786213036656</v>
      </c>
      <c r="W107" s="38">
        <f t="shared" si="51"/>
        <v>787879.42870591418</v>
      </c>
      <c r="X107" s="69">
        <f t="shared" si="59"/>
        <v>920041.21491895081</v>
      </c>
      <c r="Y107">
        <f t="shared" si="50"/>
        <v>0</v>
      </c>
      <c r="Z107" s="30">
        <f t="shared" si="53"/>
        <v>77429.573038211209</v>
      </c>
      <c r="AA107" s="2">
        <f t="shared" ca="1" si="37"/>
        <v>24</v>
      </c>
    </row>
    <row r="108" spans="12:27" x14ac:dyDescent="0.2">
      <c r="M108" s="5">
        <f t="shared" si="38"/>
        <v>51.4</v>
      </c>
      <c r="N108" s="43">
        <f t="shared" si="54"/>
        <v>44621</v>
      </c>
      <c r="O108" s="31">
        <f t="shared" si="44"/>
        <v>80283.672459973939</v>
      </c>
      <c r="P108" s="31">
        <f t="shared" si="58"/>
        <v>50000</v>
      </c>
      <c r="Q108" s="30">
        <f t="shared" si="45"/>
        <v>7499.213570598512</v>
      </c>
      <c r="R108" s="31">
        <f t="shared" si="46"/>
        <v>20747.262746901462</v>
      </c>
      <c r="S108" s="47">
        <f t="shared" si="47"/>
        <v>374874.77618073311</v>
      </c>
      <c r="T108" s="30">
        <f t="shared" si="48"/>
        <v>237226.02357650368</v>
      </c>
      <c r="U108" s="31">
        <f t="shared" ref="U108" si="62">U107</f>
        <v>36000</v>
      </c>
      <c r="V108" s="30">
        <f t="shared" si="49"/>
        <v>97117.932198712326</v>
      </c>
      <c r="W108" s="38">
        <f t="shared" si="51"/>
        <v>799192.31438194262</v>
      </c>
      <c r="X108" s="69">
        <f t="shared" si="59"/>
        <v>932310.24658065499</v>
      </c>
      <c r="Y108">
        <f t="shared" si="50"/>
        <v>0</v>
      </c>
      <c r="Z108" s="30">
        <f t="shared" si="53"/>
        <v>78561.365847231864</v>
      </c>
      <c r="AA108" s="2">
        <f t="shared" ca="1" si="37"/>
        <v>24</v>
      </c>
    </row>
    <row r="109" spans="12:27" x14ac:dyDescent="0.2">
      <c r="M109" s="5">
        <f t="shared" si="38"/>
        <v>51.5</v>
      </c>
      <c r="N109" s="43">
        <f t="shared" si="54"/>
        <v>44652</v>
      </c>
      <c r="O109" s="31">
        <f t="shared" si="44"/>
        <v>81394.015139898765</v>
      </c>
      <c r="P109" s="31">
        <f t="shared" si="58"/>
        <v>50000</v>
      </c>
      <c r="Q109" s="30">
        <f t="shared" si="45"/>
        <v>7552.3330000569185</v>
      </c>
      <c r="R109" s="31">
        <f t="shared" si="46"/>
        <v>20894.222524692013</v>
      </c>
      <c r="S109" s="47">
        <f t="shared" si="47"/>
        <v>377530.13917867996</v>
      </c>
      <c r="T109" s="30">
        <f t="shared" si="48"/>
        <v>238906.37457683723</v>
      </c>
      <c r="U109" s="31">
        <f t="shared" si="43"/>
        <v>36000</v>
      </c>
      <c r="V109" s="30">
        <f t="shared" si="49"/>
        <v>98080.850885119871</v>
      </c>
      <c r="W109" s="38">
        <f t="shared" si="51"/>
        <v>805978.25994214788</v>
      </c>
      <c r="X109" s="69">
        <f t="shared" si="59"/>
        <v>940059.11082726775</v>
      </c>
      <c r="Y109">
        <f t="shared" si="50"/>
        <v>0</v>
      </c>
      <c r="Z109" s="30">
        <f t="shared" si="53"/>
        <v>79701.175521983081</v>
      </c>
      <c r="AA109" s="2">
        <f t="shared" ca="1" si="37"/>
        <v>24</v>
      </c>
    </row>
    <row r="110" spans="12:27" x14ac:dyDescent="0.2">
      <c r="M110" s="5">
        <f t="shared" si="38"/>
        <v>51.5</v>
      </c>
      <c r="N110" s="43">
        <f t="shared" si="54"/>
        <v>44682</v>
      </c>
      <c r="O110" s="31">
        <f t="shared" si="44"/>
        <v>82512.22274713972</v>
      </c>
      <c r="P110" s="31">
        <f t="shared" si="58"/>
        <v>50000</v>
      </c>
      <c r="Q110" s="30">
        <f t="shared" si="45"/>
        <v>7605.8286921406552</v>
      </c>
      <c r="R110" s="31">
        <f t="shared" si="46"/>
        <v>21042.223267575249</v>
      </c>
      <c r="S110" s="47">
        <f t="shared" si="47"/>
        <v>380204.31099786225</v>
      </c>
      <c r="T110" s="30">
        <f t="shared" si="48"/>
        <v>240598.62806342315</v>
      </c>
      <c r="U110" s="31">
        <f t="shared" si="43"/>
        <v>36000</v>
      </c>
      <c r="V110" s="30">
        <f t="shared" si="49"/>
        <v>99050.59024555613</v>
      </c>
      <c r="W110" s="38">
        <f t="shared" si="51"/>
        <v>812812.27261673822</v>
      </c>
      <c r="X110" s="69">
        <f t="shared" si="59"/>
        <v>947862.86286229431</v>
      </c>
      <c r="Y110">
        <f t="shared" si="50"/>
        <v>0</v>
      </c>
      <c r="Z110" s="30">
        <f t="shared" si="53"/>
        <v>80849.058848597124</v>
      </c>
      <c r="AA110" s="2">
        <f t="shared" ca="1" si="37"/>
        <v>24</v>
      </c>
    </row>
    <row r="111" spans="12:27" x14ac:dyDescent="0.2">
      <c r="M111" s="5">
        <f t="shared" si="38"/>
        <v>51.6</v>
      </c>
      <c r="N111" s="43">
        <f t="shared" si="54"/>
        <v>44713</v>
      </c>
      <c r="O111" s="31">
        <f t="shared" si="44"/>
        <v>83638.350991598636</v>
      </c>
      <c r="P111" s="31">
        <f t="shared" si="58"/>
        <v>50000</v>
      </c>
      <c r="Q111" s="30">
        <f t="shared" si="45"/>
        <v>7659.703312043318</v>
      </c>
      <c r="R111" s="31">
        <f t="shared" si="46"/>
        <v>21191.272349053907</v>
      </c>
      <c r="S111" s="47">
        <f t="shared" si="47"/>
        <v>382897.42486743047</v>
      </c>
      <c r="T111" s="30">
        <f t="shared" si="48"/>
        <v>242302.86834553906</v>
      </c>
      <c r="U111" s="31">
        <f t="shared" si="43"/>
        <v>36000</v>
      </c>
      <c r="V111" s="30">
        <f t="shared" si="49"/>
        <v>100027.19859312882</v>
      </c>
      <c r="W111" s="38">
        <f t="shared" si="51"/>
        <v>819694.69288110675</v>
      </c>
      <c r="X111" s="69">
        <f t="shared" si="59"/>
        <v>955721.89147423557</v>
      </c>
      <c r="Y111">
        <f t="shared" si="50"/>
        <v>0</v>
      </c>
      <c r="Z111" s="30">
        <f t="shared" si="53"/>
        <v>82005.073015441347</v>
      </c>
      <c r="AA111" s="2">
        <f t="shared" ca="1" si="37"/>
        <v>24</v>
      </c>
    </row>
    <row r="112" spans="12:27" x14ac:dyDescent="0.2">
      <c r="M112" s="5">
        <f t="shared" si="38"/>
        <v>51.7</v>
      </c>
      <c r="N112" s="43">
        <f t="shared" si="54"/>
        <v>44743</v>
      </c>
      <c r="O112" s="31">
        <f t="shared" si="44"/>
        <v>84772.455977789126</v>
      </c>
      <c r="P112" s="31">
        <f t="shared" si="58"/>
        <v>50000</v>
      </c>
      <c r="Q112" s="30">
        <f t="shared" si="45"/>
        <v>7713.9595438369579</v>
      </c>
      <c r="R112" s="31">
        <f t="shared" si="46"/>
        <v>21341.377194859706</v>
      </c>
      <c r="S112" s="47">
        <f t="shared" si="47"/>
        <v>385609.61496024142</v>
      </c>
      <c r="T112" s="30">
        <f t="shared" si="48"/>
        <v>244019.18032965329</v>
      </c>
      <c r="U112" s="31">
        <f t="shared" si="43"/>
        <v>36000</v>
      </c>
      <c r="V112" s="30">
        <f t="shared" si="49"/>
        <v>101010.72458316348</v>
      </c>
      <c r="W112" s="38">
        <f t="shared" si="51"/>
        <v>826625.86362234782</v>
      </c>
      <c r="X112" s="69">
        <f t="shared" si="59"/>
        <v>963636.58820551133</v>
      </c>
      <c r="Y112">
        <f t="shared" si="50"/>
        <v>0</v>
      </c>
      <c r="Z112" s="30">
        <f t="shared" si="53"/>
        <v>83169.275615967388</v>
      </c>
      <c r="AA112" s="2">
        <f t="shared" ca="1" si="37"/>
        <v>24</v>
      </c>
    </row>
    <row r="113" spans="8:27" x14ac:dyDescent="0.2">
      <c r="M113" s="5">
        <f t="shared" si="38"/>
        <v>51.8</v>
      </c>
      <c r="N113" s="43">
        <f t="shared" si="54"/>
        <v>44774</v>
      </c>
      <c r="O113" s="31">
        <f t="shared" si="44"/>
        <v>85914.594207631802</v>
      </c>
      <c r="P113" s="31">
        <f t="shared" si="58"/>
        <v>50000</v>
      </c>
      <c r="Q113" s="30">
        <f t="shared" si="45"/>
        <v>7768.6000906058034</v>
      </c>
      <c r="R113" s="31">
        <f t="shared" si="46"/>
        <v>21492.545283323296</v>
      </c>
      <c r="S113" s="47">
        <f t="shared" si="47"/>
        <v>388341.01639954315</v>
      </c>
      <c r="T113" s="30">
        <f t="shared" si="48"/>
        <v>245747.64952365501</v>
      </c>
      <c r="U113" s="31">
        <f t="shared" si="43"/>
        <v>36000</v>
      </c>
      <c r="V113" s="30">
        <f t="shared" si="49"/>
        <v>102001.21721562755</v>
      </c>
      <c r="W113" s="38">
        <f t="shared" si="51"/>
        <v>833606.1301563395</v>
      </c>
      <c r="X113" s="69">
        <f t="shared" si="59"/>
        <v>971607.34737196704</v>
      </c>
      <c r="Y113">
        <f t="shared" si="50"/>
        <v>0</v>
      </c>
      <c r="Z113" s="30">
        <f t="shared" si="53"/>
        <v>84341.724651580487</v>
      </c>
      <c r="AA113" s="2">
        <f t="shared" ca="1" si="37"/>
        <v>24</v>
      </c>
    </row>
    <row r="114" spans="8:27" x14ac:dyDescent="0.2">
      <c r="M114" s="5">
        <f t="shared" si="38"/>
        <v>51.9</v>
      </c>
      <c r="N114" s="43">
        <f t="shared" si="54"/>
        <v>44805</v>
      </c>
      <c r="O114" s="31">
        <f t="shared" si="44"/>
        <v>87064.822583269197</v>
      </c>
      <c r="P114" s="31">
        <f t="shared" si="58"/>
        <v>50000</v>
      </c>
      <c r="Q114" s="30">
        <f t="shared" si="45"/>
        <v>7823.6276745809282</v>
      </c>
      <c r="R114" s="31">
        <f t="shared" si="46"/>
        <v>21644.784145746835</v>
      </c>
      <c r="S114" s="47">
        <f t="shared" si="47"/>
        <v>391091.76526570658</v>
      </c>
      <c r="T114" s="30">
        <f t="shared" si="48"/>
        <v>247488.36204111425</v>
      </c>
      <c r="U114" s="31">
        <f t="shared" si="43"/>
        <v>36000</v>
      </c>
      <c r="V114" s="30">
        <f t="shared" si="49"/>
        <v>102998.72583757158</v>
      </c>
      <c r="W114" s="38">
        <f t="shared" si="51"/>
        <v>840635.840244947</v>
      </c>
      <c r="X114" s="69">
        <f t="shared" si="59"/>
        <v>979634.56608251855</v>
      </c>
      <c r="Y114">
        <f t="shared" si="50"/>
        <v>0</v>
      </c>
      <c r="Z114" s="30">
        <f t="shared" si="53"/>
        <v>85522.478534529175</v>
      </c>
      <c r="AA114" s="2">
        <f t="shared" ca="1" si="37"/>
        <v>24</v>
      </c>
    </row>
    <row r="115" spans="8:27" x14ac:dyDescent="0.2">
      <c r="K115" s="70"/>
      <c r="M115" s="5">
        <f t="shared" si="38"/>
        <v>52</v>
      </c>
      <c r="N115" s="43">
        <f t="shared" si="54"/>
        <v>44835</v>
      </c>
      <c r="O115" s="31">
        <f t="shared" si="44"/>
        <v>88223.198409900695</v>
      </c>
      <c r="P115" s="31">
        <f t="shared" si="58"/>
        <v>50000</v>
      </c>
      <c r="Q115" s="30">
        <f t="shared" si="45"/>
        <v>7879.045037275876</v>
      </c>
      <c r="R115" s="31">
        <f t="shared" si="46"/>
        <v>21798.101366779207</v>
      </c>
      <c r="S115" s="47">
        <f t="shared" si="47"/>
        <v>393861.99860300531</v>
      </c>
      <c r="T115" s="30">
        <f t="shared" si="48"/>
        <v>249241.40460557214</v>
      </c>
      <c r="U115" s="31">
        <f t="shared" si="43"/>
        <v>36000</v>
      </c>
      <c r="V115" s="30">
        <f t="shared" si="49"/>
        <v>104003.30014558771</v>
      </c>
      <c r="W115" s="38">
        <f t="shared" si="51"/>
        <v>847715.34411334863</v>
      </c>
      <c r="X115" s="69">
        <f t="shared" si="59"/>
        <v>987718.64425893629</v>
      </c>
      <c r="Y115">
        <f t="shared" si="50"/>
        <v>0</v>
      </c>
      <c r="Z115" s="30">
        <f t="shared" si="53"/>
        <v>86711.596090815423</v>
      </c>
      <c r="AA115" s="2">
        <f t="shared" ca="1" si="37"/>
        <v>24</v>
      </c>
    </row>
    <row r="116" spans="8:27" x14ac:dyDescent="0.2">
      <c r="H116" s="70"/>
      <c r="I116" s="70"/>
      <c r="J116" s="70"/>
      <c r="M116" s="5">
        <f t="shared" si="38"/>
        <v>52</v>
      </c>
      <c r="N116" s="43">
        <f t="shared" si="54"/>
        <v>44866</v>
      </c>
      <c r="O116" s="31">
        <f t="shared" si="44"/>
        <v>89389.779398637489</v>
      </c>
      <c r="P116" s="31">
        <f t="shared" si="58"/>
        <v>50000</v>
      </c>
      <c r="Q116" s="30">
        <f t="shared" si="45"/>
        <v>7934.8549396232465</v>
      </c>
      <c r="R116" s="31">
        <f t="shared" si="46"/>
        <v>21952.504584793893</v>
      </c>
      <c r="S116" s="47">
        <f t="shared" si="47"/>
        <v>396651.85442644329</v>
      </c>
      <c r="T116" s="30">
        <f t="shared" si="48"/>
        <v>251006.86455486162</v>
      </c>
      <c r="U116" s="31">
        <f t="shared" si="43"/>
        <v>36000</v>
      </c>
      <c r="V116" s="30">
        <f t="shared" si="49"/>
        <v>105014.99018828562</v>
      </c>
      <c r="W116" s="38">
        <f t="shared" si="51"/>
        <v>854844.99446748476</v>
      </c>
      <c r="X116" s="69">
        <f t="shared" si="59"/>
        <v>995859.98465577047</v>
      </c>
      <c r="Y116">
        <f t="shared" si="50"/>
        <v>0</v>
      </c>
      <c r="Z116" s="30">
        <f t="shared" si="53"/>
        <v>87909.136563125357</v>
      </c>
      <c r="AA116" s="2">
        <f t="shared" ca="1" si="37"/>
        <v>24</v>
      </c>
    </row>
    <row r="117" spans="8:27" x14ac:dyDescent="0.2">
      <c r="M117" s="5">
        <f t="shared" si="38"/>
        <v>52.1</v>
      </c>
      <c r="N117" s="43">
        <f t="shared" si="54"/>
        <v>44896</v>
      </c>
      <c r="O117" s="31">
        <f t="shared" si="44"/>
        <v>90564.623669377848</v>
      </c>
      <c r="P117" s="31">
        <f t="shared" si="58"/>
        <v>50000</v>
      </c>
      <c r="Q117" s="30">
        <f t="shared" si="45"/>
        <v>7991.0601621122441</v>
      </c>
      <c r="R117" s="31">
        <f t="shared" si="46"/>
        <v>22108.001492269515</v>
      </c>
      <c r="S117" s="47">
        <f t="shared" si="47"/>
        <v>399461.4717286306</v>
      </c>
      <c r="T117" s="30">
        <f t="shared" si="48"/>
        <v>252784.82984545856</v>
      </c>
      <c r="U117" s="31">
        <f t="shared" si="43"/>
        <v>36000</v>
      </c>
      <c r="V117" s="30">
        <f t="shared" si="49"/>
        <v>106033.84636878598</v>
      </c>
      <c r="W117" s="38">
        <f t="shared" si="51"/>
        <v>862025.14651162957</v>
      </c>
      <c r="X117" s="69">
        <f t="shared" si="59"/>
        <v>1004058.9928804155</v>
      </c>
      <c r="Y117">
        <f t="shared" si="50"/>
        <v>0</v>
      </c>
      <c r="Z117" s="30">
        <f t="shared" si="53"/>
        <v>89115.159613780823</v>
      </c>
      <c r="AA117" s="2">
        <f t="shared" ca="1" si="37"/>
        <v>24</v>
      </c>
    </row>
    <row r="118" spans="8:27" x14ac:dyDescent="0.2">
      <c r="M118" s="5">
        <f t="shared" si="38"/>
        <v>52.2</v>
      </c>
      <c r="N118" s="43">
        <f t="shared" si="54"/>
        <v>44927</v>
      </c>
      <c r="O118" s="31">
        <f t="shared" si="44"/>
        <v>91747.789753702615</v>
      </c>
      <c r="P118" s="31">
        <f t="shared" ref="P118" si="63">IF(M118&gt;50,MAX(P117,P106+$J$13),MAX(P117,P106+$I$13))</f>
        <v>56500</v>
      </c>
      <c r="Q118" s="30">
        <f t="shared" si="45"/>
        <v>8047.6635049272054</v>
      </c>
      <c r="R118" s="31">
        <f t="shared" si="46"/>
        <v>22264.599836173093</v>
      </c>
      <c r="S118" s="47">
        <f t="shared" si="47"/>
        <v>402290.99048670841</v>
      </c>
      <c r="T118" s="30">
        <f t="shared" si="48"/>
        <v>254575.3890568639</v>
      </c>
      <c r="U118" s="31">
        <f t="shared" si="43"/>
        <v>36000</v>
      </c>
      <c r="V118" s="30">
        <f t="shared" si="49"/>
        <v>107059.91944723154</v>
      </c>
      <c r="W118" s="38">
        <f t="shared" si="51"/>
        <v>869256.15796608711</v>
      </c>
      <c r="X118" s="69">
        <f t="shared" si="59"/>
        <v>1012316.0774133187</v>
      </c>
      <c r="Y118">
        <f t="shared" si="50"/>
        <v>0</v>
      </c>
      <c r="Z118" s="30">
        <f t="shared" si="53"/>
        <v>90329.725327711771</v>
      </c>
      <c r="AA118" s="2">
        <f t="shared" ca="1" si="37"/>
        <v>24</v>
      </c>
    </row>
    <row r="119" spans="8:27" x14ac:dyDescent="0.2">
      <c r="M119" s="5">
        <f t="shared" si="38"/>
        <v>52.3</v>
      </c>
      <c r="N119" s="43">
        <f t="shared" si="54"/>
        <v>44958</v>
      </c>
      <c r="O119" s="31">
        <f t="shared" si="44"/>
        <v>92939.336597791349</v>
      </c>
      <c r="P119" s="31">
        <f t="shared" si="58"/>
        <v>56500</v>
      </c>
      <c r="Q119" s="30">
        <f t="shared" si="45"/>
        <v>8104.6677880871066</v>
      </c>
      <c r="R119" s="31">
        <f t="shared" si="46"/>
        <v>22422.307418345987</v>
      </c>
      <c r="S119" s="47">
        <f t="shared" si="47"/>
        <v>405140.55166932259</v>
      </c>
      <c r="T119" s="30">
        <f t="shared" si="48"/>
        <v>256378.63139601669</v>
      </c>
      <c r="U119" s="31">
        <f t="shared" ref="U119" si="64">U118+$K$18</f>
        <v>37500</v>
      </c>
      <c r="V119" s="30">
        <f t="shared" si="49"/>
        <v>108093.26054331609</v>
      </c>
      <c r="W119" s="38">
        <f t="shared" si="51"/>
        <v>876538.38908501342</v>
      </c>
      <c r="X119" s="69">
        <f t="shared" si="59"/>
        <v>1022131.6496283296</v>
      </c>
      <c r="Y119">
        <f t="shared" si="50"/>
        <v>0</v>
      </c>
      <c r="Z119" s="30">
        <f t="shared" si="53"/>
        <v>91552.89421544972</v>
      </c>
      <c r="AA119" s="2">
        <f t="shared" ca="1" si="37"/>
        <v>24</v>
      </c>
    </row>
    <row r="120" spans="8:27" x14ac:dyDescent="0.2">
      <c r="M120" s="5">
        <f t="shared" si="38"/>
        <v>52.4</v>
      </c>
      <c r="N120" s="43">
        <f t="shared" si="54"/>
        <v>44986</v>
      </c>
      <c r="O120" s="31">
        <f t="shared" si="44"/>
        <v>94139.323565359038</v>
      </c>
      <c r="P120" s="31">
        <f t="shared" si="58"/>
        <v>56500</v>
      </c>
      <c r="Q120" s="30">
        <f t="shared" si="45"/>
        <v>8162.0758515860571</v>
      </c>
      <c r="R120" s="31">
        <f t="shared" si="46"/>
        <v>22581.132095892604</v>
      </c>
      <c r="S120" s="47">
        <f t="shared" si="47"/>
        <v>408010.29724364699</v>
      </c>
      <c r="T120" s="30">
        <f t="shared" si="48"/>
        <v>262870.82585360704</v>
      </c>
      <c r="U120" s="31">
        <f t="shared" ref="U120" si="65">U119</f>
        <v>37500</v>
      </c>
      <c r="V120" s="30">
        <f t="shared" si="49"/>
        <v>109133.92113883125</v>
      </c>
      <c r="W120" s="38">
        <f t="shared" si="51"/>
        <v>888548.38182623417</v>
      </c>
      <c r="X120" s="69">
        <f t="shared" si="59"/>
        <v>1035182.3029650655</v>
      </c>
      <c r="Y120">
        <f t="shared" si="50"/>
        <v>0</v>
      </c>
      <c r="Z120" s="30">
        <f t="shared" si="53"/>
        <v>92784.727216142477</v>
      </c>
      <c r="AA120" s="2">
        <f t="shared" ca="1" si="37"/>
        <v>24</v>
      </c>
    </row>
    <row r="121" spans="8:27" x14ac:dyDescent="0.2">
      <c r="M121" s="5">
        <f t="shared" si="38"/>
        <v>52.5</v>
      </c>
      <c r="N121" s="43">
        <f t="shared" si="54"/>
        <v>45017</v>
      </c>
      <c r="O121" s="31">
        <f t="shared" si="44"/>
        <v>95347.81044061367</v>
      </c>
      <c r="P121" s="31">
        <f t="shared" si="58"/>
        <v>56500</v>
      </c>
      <c r="Q121" s="30">
        <f t="shared" si="45"/>
        <v>8219.8905555347919</v>
      </c>
      <c r="R121" s="31">
        <f t="shared" si="46"/>
        <v>22741.081781571844</v>
      </c>
      <c r="S121" s="47">
        <f t="shared" si="47"/>
        <v>410900.37018245616</v>
      </c>
      <c r="T121" s="30">
        <f t="shared" si="48"/>
        <v>264732.82753673673</v>
      </c>
      <c r="U121" s="31">
        <f t="shared" si="43"/>
        <v>37500</v>
      </c>
      <c r="V121" s="30">
        <f t="shared" si="49"/>
        <v>110181.95308023131</v>
      </c>
      <c r="W121" s="38">
        <f t="shared" si="51"/>
        <v>895967.26619750331</v>
      </c>
      <c r="X121" s="69">
        <f t="shared" si="59"/>
        <v>1043649.2192777346</v>
      </c>
      <c r="Y121">
        <f t="shared" si="50"/>
        <v>0</v>
      </c>
      <c r="Z121" s="30">
        <f t="shared" si="53"/>
        <v>94025.285700590146</v>
      </c>
      <c r="AA121" s="2">
        <f t="shared" ca="1" si="37"/>
        <v>24</v>
      </c>
    </row>
    <row r="122" spans="8:27" x14ac:dyDescent="0.2">
      <c r="M122" s="5">
        <f t="shared" si="38"/>
        <v>52.5</v>
      </c>
      <c r="N122" s="43">
        <f t="shared" si="54"/>
        <v>45047</v>
      </c>
      <c r="O122" s="31">
        <f t="shared" si="44"/>
        <v>96564.85743123469</v>
      </c>
      <c r="P122" s="31">
        <f t="shared" si="58"/>
        <v>56500</v>
      </c>
      <c r="Q122" s="30">
        <f t="shared" si="45"/>
        <v>8278.1147803031636</v>
      </c>
      <c r="R122" s="31">
        <f t="shared" si="46"/>
        <v>22902.164444191312</v>
      </c>
      <c r="S122" s="47">
        <f t="shared" si="47"/>
        <v>413810.91447124857</v>
      </c>
      <c r="T122" s="30">
        <f t="shared" si="48"/>
        <v>266608.01839845529</v>
      </c>
      <c r="U122" s="31">
        <f t="shared" si="43"/>
        <v>37500</v>
      </c>
      <c r="V122" s="30">
        <f t="shared" si="49"/>
        <v>111237.40858121628</v>
      </c>
      <c r="W122" s="38">
        <f t="shared" si="51"/>
        <v>903438.70099973562</v>
      </c>
      <c r="X122" s="69">
        <f t="shared" si="59"/>
        <v>1052176.1095809517</v>
      </c>
      <c r="Y122">
        <f t="shared" si="50"/>
        <v>0</v>
      </c>
      <c r="Z122" s="30">
        <f t="shared" si="53"/>
        <v>95274.63147430266</v>
      </c>
      <c r="AA122" s="2">
        <f t="shared" ca="1" si="37"/>
        <v>24</v>
      </c>
    </row>
    <row r="123" spans="8:27" x14ac:dyDescent="0.2">
      <c r="M123" s="5">
        <f t="shared" si="38"/>
        <v>52.6</v>
      </c>
      <c r="N123" s="43">
        <f t="shared" si="54"/>
        <v>45078</v>
      </c>
      <c r="O123" s="31">
        <f t="shared" si="44"/>
        <v>97790.525171372603</v>
      </c>
      <c r="P123" s="31">
        <f t="shared" si="58"/>
        <v>56500</v>
      </c>
      <c r="Q123" s="30">
        <f t="shared" si="45"/>
        <v>8336.7514266636445</v>
      </c>
      <c r="R123" s="31">
        <f t="shared" si="46"/>
        <v>23064.388109004332</v>
      </c>
      <c r="S123" s="47">
        <f t="shared" si="47"/>
        <v>416742.07511541992</v>
      </c>
      <c r="T123" s="30">
        <f t="shared" si="48"/>
        <v>268496.49186211103</v>
      </c>
      <c r="U123" s="31">
        <f t="shared" si="43"/>
        <v>37500</v>
      </c>
      <c r="V123" s="30">
        <f t="shared" si="49"/>
        <v>112300.34022533323</v>
      </c>
      <c r="W123" s="38">
        <f t="shared" si="51"/>
        <v>910963.05846515042</v>
      </c>
      <c r="X123" s="69">
        <f t="shared" si="59"/>
        <v>1060763.3986904835</v>
      </c>
      <c r="Y123">
        <f t="shared" si="50"/>
        <v>0</v>
      </c>
      <c r="Z123" s="30">
        <f t="shared" si="53"/>
        <v>96532.826780578966</v>
      </c>
      <c r="AA123" s="2">
        <f t="shared" ca="1" si="37"/>
        <v>24</v>
      </c>
    </row>
    <row r="124" spans="8:27" x14ac:dyDescent="0.2">
      <c r="M124" s="5">
        <f t="shared" si="38"/>
        <v>52.7</v>
      </c>
      <c r="N124" s="43">
        <f t="shared" si="54"/>
        <v>45108</v>
      </c>
      <c r="O124" s="31">
        <f t="shared" si="44"/>
        <v>99024.874724669833</v>
      </c>
      <c r="P124" s="31">
        <f t="shared" si="58"/>
        <v>56500</v>
      </c>
      <c r="Q124" s="30">
        <f t="shared" si="45"/>
        <v>8395.8034159358449</v>
      </c>
      <c r="R124" s="31">
        <f t="shared" si="46"/>
        <v>23227.760858109781</v>
      </c>
      <c r="S124" s="47">
        <f t="shared" si="47"/>
        <v>419693.99814748747</v>
      </c>
      <c r="T124" s="30">
        <f t="shared" si="48"/>
        <v>270398.34201280097</v>
      </c>
      <c r="U124" s="31">
        <f t="shared" si="43"/>
        <v>37500</v>
      </c>
      <c r="V124" s="30">
        <f t="shared" si="49"/>
        <v>113370.80096859601</v>
      </c>
      <c r="W124" s="38">
        <f t="shared" si="51"/>
        <v>918540.71346261189</v>
      </c>
      <c r="X124" s="69">
        <f t="shared" si="59"/>
        <v>1069411.5144312079</v>
      </c>
      <c r="Y124">
        <f t="shared" si="50"/>
        <v>0</v>
      </c>
      <c r="Z124" s="30">
        <f t="shared" si="53"/>
        <v>97799.934303608068</v>
      </c>
      <c r="AA124" s="2">
        <f t="shared" ca="1" si="37"/>
        <v>24</v>
      </c>
    </row>
    <row r="125" spans="8:27" x14ac:dyDescent="0.2">
      <c r="M125" s="5">
        <f t="shared" si="38"/>
        <v>52.8</v>
      </c>
      <c r="N125" s="43">
        <f t="shared" si="54"/>
        <v>45139</v>
      </c>
      <c r="O125" s="31">
        <f t="shared" si="44"/>
        <v>100267.96758730292</v>
      </c>
      <c r="P125" s="31">
        <f t="shared" si="58"/>
        <v>56500</v>
      </c>
      <c r="Q125" s="30">
        <f t="shared" si="45"/>
        <v>8455.2736901320568</v>
      </c>
      <c r="R125" s="31">
        <f t="shared" si="46"/>
        <v>23392.290830854727</v>
      </c>
      <c r="S125" s="47">
        <f t="shared" si="47"/>
        <v>422666.8306343655</v>
      </c>
      <c r="T125" s="30">
        <f t="shared" si="48"/>
        <v>272313.66360205831</v>
      </c>
      <c r="U125" s="31">
        <f t="shared" si="43"/>
        <v>37500</v>
      </c>
      <c r="V125" s="30">
        <f t="shared" si="49"/>
        <v>114448.84414212356</v>
      </c>
      <c r="W125" s="38">
        <f t="shared" si="51"/>
        <v>926172.04351630551</v>
      </c>
      <c r="X125" s="69">
        <f t="shared" si="59"/>
        <v>1078120.8876584291</v>
      </c>
      <c r="Y125">
        <f t="shared" si="50"/>
        <v>0</v>
      </c>
      <c r="Z125" s="30">
        <f t="shared" si="53"/>
        <v>99076.017171591957</v>
      </c>
      <c r="AA125" s="2">
        <f t="shared" ca="1" si="37"/>
        <v>24</v>
      </c>
    </row>
    <row r="126" spans="8:27" x14ac:dyDescent="0.2">
      <c r="M126" s="5">
        <f t="shared" si="38"/>
        <v>52.9</v>
      </c>
      <c r="N126" s="43">
        <f t="shared" si="54"/>
        <v>45170</v>
      </c>
      <c r="O126" s="31">
        <f t="shared" si="44"/>
        <v>101519.86569104632</v>
      </c>
      <c r="P126" s="31">
        <f t="shared" si="58"/>
        <v>56500</v>
      </c>
      <c r="Q126" s="30">
        <f t="shared" si="45"/>
        <v>8515.165212103826</v>
      </c>
      <c r="R126" s="31">
        <f t="shared" si="46"/>
        <v>23557.986224239947</v>
      </c>
      <c r="S126" s="47">
        <f t="shared" si="47"/>
        <v>425660.72068469226</v>
      </c>
      <c r="T126" s="30">
        <f t="shared" si="48"/>
        <v>274242.55205257289</v>
      </c>
      <c r="U126" s="31">
        <f t="shared" si="43"/>
        <v>37500</v>
      </c>
      <c r="V126" s="30">
        <f t="shared" si="49"/>
        <v>115534.52345479693</v>
      </c>
      <c r="W126" s="38">
        <f t="shared" si="51"/>
        <v>933857.42882454582</v>
      </c>
      <c r="X126" s="69">
        <f t="shared" si="59"/>
        <v>1086891.9522793428</v>
      </c>
      <c r="Y126">
        <f t="shared" si="50"/>
        <v>0</v>
      </c>
      <c r="Z126" s="30">
        <f t="shared" si="53"/>
        <v>100361.13895989073</v>
      </c>
      <c r="AA126" s="2">
        <f t="shared" ca="1" si="37"/>
        <v>24</v>
      </c>
    </row>
    <row r="127" spans="8:27" x14ac:dyDescent="0.2">
      <c r="M127" s="5">
        <f t="shared" si="38"/>
        <v>53</v>
      </c>
      <c r="N127" s="43">
        <f t="shared" si="54"/>
        <v>45200</v>
      </c>
      <c r="O127" s="31">
        <f t="shared" si="44"/>
        <v>102780.6314063579</v>
      </c>
      <c r="P127" s="31">
        <f t="shared" si="58"/>
        <v>56500</v>
      </c>
      <c r="Q127" s="30">
        <f t="shared" si="45"/>
        <v>8575.4809656895613</v>
      </c>
      <c r="R127" s="31">
        <f t="shared" si="46"/>
        <v>23724.855293328314</v>
      </c>
      <c r="S127" s="47">
        <f t="shared" si="47"/>
        <v>428675.81745620881</v>
      </c>
      <c r="T127" s="30">
        <f t="shared" si="48"/>
        <v>276185.10346294526</v>
      </c>
      <c r="U127" s="31">
        <f t="shared" si="43"/>
        <v>37500</v>
      </c>
      <c r="V127" s="30">
        <f t="shared" si="49"/>
        <v>116627.89299593508</v>
      </c>
      <c r="W127" s="38">
        <f t="shared" si="51"/>
        <v>941597.25227871968</v>
      </c>
      <c r="X127" s="69">
        <f t="shared" si="59"/>
        <v>1095725.1452746547</v>
      </c>
      <c r="Y127">
        <f t="shared" si="50"/>
        <v>0</v>
      </c>
      <c r="Z127" s="30">
        <f t="shared" si="53"/>
        <v>101655.36369418995</v>
      </c>
      <c r="AA127" s="2">
        <f t="shared" ca="1" si="37"/>
        <v>24</v>
      </c>
    </row>
    <row r="128" spans="8:27" x14ac:dyDescent="0.2">
      <c r="M128" s="5">
        <f t="shared" si="38"/>
        <v>53</v>
      </c>
      <c r="N128" s="43">
        <f t="shared" si="54"/>
        <v>45231</v>
      </c>
      <c r="O128" s="31">
        <f t="shared" si="44"/>
        <v>104050.32754548627</v>
      </c>
      <c r="P128" s="31">
        <f t="shared" si="58"/>
        <v>56500</v>
      </c>
      <c r="Q128" s="30">
        <f t="shared" si="45"/>
        <v>8636.2239558631954</v>
      </c>
      <c r="R128" s="31">
        <f t="shared" si="46"/>
        <v>23892.906351656056</v>
      </c>
      <c r="S128" s="47">
        <f t="shared" si="47"/>
        <v>431712.27116319031</v>
      </c>
      <c r="T128" s="30">
        <f t="shared" si="48"/>
        <v>278141.41461247444</v>
      </c>
      <c r="U128" s="31">
        <f t="shared" si="43"/>
        <v>37500</v>
      </c>
      <c r="V128" s="30">
        <f t="shared" si="49"/>
        <v>117729.00723798962</v>
      </c>
      <c r="W128" s="38">
        <f t="shared" si="51"/>
        <v>949391.89948236081</v>
      </c>
      <c r="X128" s="69">
        <f t="shared" si="59"/>
        <v>1104620.9067203505</v>
      </c>
      <c r="Y128">
        <f t="shared" si="50"/>
        <v>0</v>
      </c>
      <c r="Z128" s="30">
        <f t="shared" si="53"/>
        <v>102958.75585369045</v>
      </c>
      <c r="AA128" s="2">
        <f t="shared" ca="1" si="37"/>
        <v>24</v>
      </c>
    </row>
    <row r="129" spans="13:27" x14ac:dyDescent="0.2">
      <c r="M129" s="5">
        <f t="shared" si="38"/>
        <v>53.1</v>
      </c>
      <c r="N129" s="43">
        <f t="shared" si="54"/>
        <v>45261</v>
      </c>
      <c r="O129" s="31">
        <f t="shared" si="44"/>
        <v>105329.01736560014</v>
      </c>
      <c r="P129" s="31">
        <f t="shared" si="58"/>
        <v>56500</v>
      </c>
      <c r="Q129" s="30">
        <f t="shared" si="45"/>
        <v>8697.3972088838927</v>
      </c>
      <c r="R129" s="31">
        <f t="shared" si="46"/>
        <v>24062.147771646953</v>
      </c>
      <c r="S129" s="47">
        <f t="shared" si="47"/>
        <v>434770.23308392958</v>
      </c>
      <c r="T129" s="30">
        <f t="shared" si="48"/>
        <v>280111.58296597947</v>
      </c>
      <c r="U129" s="31">
        <f t="shared" si="43"/>
        <v>37500</v>
      </c>
      <c r="V129" s="30">
        <f t="shared" si="49"/>
        <v>118837.92103925871</v>
      </c>
      <c r="W129" s="38">
        <f t="shared" si="51"/>
        <v>957241.75877036084</v>
      </c>
      <c r="X129" s="69">
        <f t="shared" si="59"/>
        <v>1113579.6798096194</v>
      </c>
      <c r="Y129">
        <f t="shared" si="50"/>
        <v>0</v>
      </c>
      <c r="Z129" s="30">
        <f t="shared" si="53"/>
        <v>104271.38037432075</v>
      </c>
      <c r="AA129" s="2">
        <f t="shared" ca="1" si="37"/>
        <v>24</v>
      </c>
    </row>
    <row r="130" spans="13:27" x14ac:dyDescent="0.2">
      <c r="M130" s="5">
        <f t="shared" si="38"/>
        <v>53.2</v>
      </c>
      <c r="N130" s="43">
        <f t="shared" si="54"/>
        <v>45292</v>
      </c>
      <c r="O130" s="31">
        <f t="shared" si="44"/>
        <v>106616.76457193981</v>
      </c>
      <c r="P130" s="31">
        <f t="shared" ref="P130" si="66">IF(M130&gt;50,MAX(P129,P118+$J$13),MAX(P129,P118+$I$13))</f>
        <v>63000</v>
      </c>
      <c r="Q130" s="30">
        <f t="shared" si="45"/>
        <v>8759.0037724468202</v>
      </c>
      <c r="R130" s="31">
        <f t="shared" si="46"/>
        <v>24232.587985029451</v>
      </c>
      <c r="S130" s="47">
        <f t="shared" si="47"/>
        <v>437849.8555682741</v>
      </c>
      <c r="T130" s="30">
        <f t="shared" si="48"/>
        <v>282095.70667865517</v>
      </c>
      <c r="U130" s="31">
        <f t="shared" si="43"/>
        <v>37500</v>
      </c>
      <c r="V130" s="30">
        <f t="shared" si="49"/>
        <v>119954.68964662013</v>
      </c>
      <c r="W130" s="38">
        <f t="shared" si="51"/>
        <v>965147.22122831747</v>
      </c>
      <c r="X130" s="69">
        <f t="shared" si="59"/>
        <v>1122601.9108749377</v>
      </c>
      <c r="Y130">
        <f t="shared" si="50"/>
        <v>0</v>
      </c>
      <c r="Z130" s="30">
        <f t="shared" si="53"/>
        <v>105593.30265197219</v>
      </c>
      <c r="AA130" s="2">
        <f t="shared" ca="1" si="37"/>
        <v>24</v>
      </c>
    </row>
    <row r="131" spans="13:27" x14ac:dyDescent="0.2">
      <c r="M131" s="5">
        <f t="shared" si="38"/>
        <v>53.3</v>
      </c>
      <c r="N131" s="43">
        <f t="shared" si="54"/>
        <v>45323</v>
      </c>
      <c r="O131" s="31">
        <f t="shared" si="44"/>
        <v>107913.63332099105</v>
      </c>
      <c r="P131" s="31">
        <f t="shared" si="58"/>
        <v>63000</v>
      </c>
      <c r="Q131" s="30">
        <f t="shared" si="45"/>
        <v>8821.0467158349857</v>
      </c>
      <c r="R131" s="31">
        <f t="shared" si="46"/>
        <v>24404.235483256743</v>
      </c>
      <c r="S131" s="47">
        <f t="shared" si="47"/>
        <v>440951.29204521602</v>
      </c>
      <c r="T131" s="30">
        <f t="shared" si="48"/>
        <v>284093.88460096234</v>
      </c>
      <c r="U131" s="31">
        <f t="shared" ref="U131" si="67">U130+$K$18</f>
        <v>39000</v>
      </c>
      <c r="V131" s="30">
        <f t="shared" si="49"/>
        <v>121079.36869828368</v>
      </c>
      <c r="W131" s="38">
        <f t="shared" si="51"/>
        <v>973108.68071201805</v>
      </c>
      <c r="X131" s="69">
        <f t="shared" si="59"/>
        <v>1133188.0494103017</v>
      </c>
      <c r="Y131">
        <f t="shared" si="50"/>
        <v>0</v>
      </c>
      <c r="Z131" s="30">
        <f t="shared" si="53"/>
        <v>106924.58854575698</v>
      </c>
      <c r="AA131" s="2">
        <f t="shared" ca="1" si="37"/>
        <v>24</v>
      </c>
    </row>
    <row r="132" spans="13:27" x14ac:dyDescent="0.2">
      <c r="M132" s="5">
        <f t="shared" si="38"/>
        <v>53.4</v>
      </c>
      <c r="N132" s="43">
        <f t="shared" si="54"/>
        <v>45352</v>
      </c>
      <c r="O132" s="31">
        <f t="shared" si="44"/>
        <v>109219.68822368141</v>
      </c>
      <c r="P132" s="31">
        <f t="shared" si="58"/>
        <v>63000</v>
      </c>
      <c r="Q132" s="30">
        <f t="shared" si="45"/>
        <v>8883.529130072151</v>
      </c>
      <c r="R132" s="31">
        <f t="shared" si="46"/>
        <v>24577.098817929811</v>
      </c>
      <c r="S132" s="47">
        <f t="shared" si="47"/>
        <v>444074.69703053631</v>
      </c>
      <c r="T132" s="30">
        <f t="shared" si="48"/>
        <v>290852.53812269907</v>
      </c>
      <c r="U132" s="31">
        <f t="shared" ref="U132" si="68">U131</f>
        <v>39000</v>
      </c>
      <c r="V132" s="30">
        <f t="shared" si="49"/>
        <v>122212.01422656319</v>
      </c>
      <c r="W132" s="38">
        <f t="shared" si="51"/>
        <v>985872.85570620827</v>
      </c>
      <c r="X132" s="69">
        <f t="shared" si="59"/>
        <v>1147084.8699327714</v>
      </c>
      <c r="Y132">
        <f t="shared" si="50"/>
        <v>0</v>
      </c>
      <c r="Z132" s="30">
        <f t="shared" si="53"/>
        <v>108265.30438128942</v>
      </c>
      <c r="AA132" s="2">
        <f t="shared" ca="1" si="37"/>
        <v>24</v>
      </c>
    </row>
    <row r="133" spans="13:27" x14ac:dyDescent="0.2">
      <c r="M133" s="5">
        <f t="shared" si="38"/>
        <v>53.5</v>
      </c>
      <c r="N133" s="43">
        <f t="shared" si="54"/>
        <v>45383</v>
      </c>
      <c r="O133" s="31">
        <f t="shared" si="44"/>
        <v>110534.99434859915</v>
      </c>
      <c r="P133" s="31">
        <f t="shared" si="58"/>
        <v>63000</v>
      </c>
      <c r="Q133" s="30">
        <f t="shared" si="45"/>
        <v>8946.4541280768281</v>
      </c>
      <c r="R133" s="31">
        <f t="shared" si="46"/>
        <v>24751.186601223482</v>
      </c>
      <c r="S133" s="47">
        <f t="shared" si="47"/>
        <v>447220.22613450262</v>
      </c>
      <c r="T133" s="30">
        <f t="shared" si="48"/>
        <v>292912.74360106821</v>
      </c>
      <c r="U133" s="31">
        <f t="shared" si="43"/>
        <v>39000</v>
      </c>
      <c r="V133" s="30">
        <f t="shared" si="49"/>
        <v>123352.68266066801</v>
      </c>
      <c r="W133" s="38">
        <f t="shared" si="51"/>
        <v>993981.12176746048</v>
      </c>
      <c r="X133" s="69">
        <f t="shared" si="59"/>
        <v>1156333.8044281285</v>
      </c>
      <c r="Y133">
        <f t="shared" si="50"/>
        <v>0</v>
      </c>
      <c r="Z133" s="30">
        <f t="shared" si="53"/>
        <v>109615.51695399021</v>
      </c>
      <c r="AA133" s="2">
        <f t="shared" ca="1" si="37"/>
        <v>24</v>
      </c>
    </row>
    <row r="134" spans="13:27" x14ac:dyDescent="0.2">
      <c r="M134" s="5">
        <f t="shared" si="38"/>
        <v>53.5</v>
      </c>
      <c r="N134" s="43">
        <f t="shared" si="54"/>
        <v>45413</v>
      </c>
      <c r="O134" s="31">
        <f t="shared" si="44"/>
        <v>111859.61722523507</v>
      </c>
      <c r="P134" s="31">
        <f t="shared" si="58"/>
        <v>63000</v>
      </c>
      <c r="Q134" s="30">
        <f t="shared" si="45"/>
        <v>9009.8248448173727</v>
      </c>
      <c r="R134" s="31">
        <f t="shared" si="46"/>
        <v>24926.507506315484</v>
      </c>
      <c r="S134" s="47">
        <f t="shared" si="47"/>
        <v>450388.03606962203</v>
      </c>
      <c r="T134" s="30">
        <f t="shared" si="48"/>
        <v>294987.54220157576</v>
      </c>
      <c r="U134" s="31">
        <f t="shared" si="43"/>
        <v>39000</v>
      </c>
      <c r="V134" s="30">
        <f t="shared" si="49"/>
        <v>124501.43082951441</v>
      </c>
      <c r="W134" s="38">
        <f t="shared" si="51"/>
        <v>1002146.8213799801</v>
      </c>
      <c r="X134" s="69">
        <f t="shared" si="59"/>
        <v>1165648.2522094944</v>
      </c>
      <c r="Y134">
        <f t="shared" si="50"/>
        <v>0</v>
      </c>
      <c r="Z134" s="30">
        <f t="shared" si="53"/>
        <v>110975.2935324143</v>
      </c>
      <c r="AA134" s="2">
        <f t="shared" ca="1" si="37"/>
        <v>24</v>
      </c>
    </row>
    <row r="135" spans="13:27" x14ac:dyDescent="0.2">
      <c r="M135" s="5">
        <f t="shared" si="38"/>
        <v>53.6</v>
      </c>
      <c r="N135" s="43">
        <f t="shared" si="54"/>
        <v>45444</v>
      </c>
      <c r="O135" s="31">
        <f t="shared" si="44"/>
        <v>113193.62284724716</v>
      </c>
      <c r="P135" s="31">
        <f t="shared" si="58"/>
        <v>63000</v>
      </c>
      <c r="Q135" s="30">
        <f t="shared" si="45"/>
        <v>9073.6444374681632</v>
      </c>
      <c r="R135" s="31">
        <f t="shared" si="46"/>
        <v>25103.070267818552</v>
      </c>
      <c r="S135" s="47">
        <f t="shared" si="47"/>
        <v>453578.28465844854</v>
      </c>
      <c r="T135" s="30">
        <f t="shared" si="48"/>
        <v>297077.03729217028</v>
      </c>
      <c r="U135" s="31">
        <f t="shared" si="43"/>
        <v>39000</v>
      </c>
      <c r="V135" s="30">
        <f t="shared" si="49"/>
        <v>125658.31596455681</v>
      </c>
      <c r="W135" s="38">
        <f t="shared" si="51"/>
        <v>1010370.3613647548</v>
      </c>
      <c r="X135" s="69">
        <f t="shared" si="59"/>
        <v>1175028.6773293116</v>
      </c>
      <c r="Y135">
        <f t="shared" si="50"/>
        <v>0</v>
      </c>
      <c r="Z135" s="30">
        <f t="shared" si="53"/>
        <v>112344.70186160224</v>
      </c>
      <c r="AA135" s="2">
        <f t="shared" ca="1" si="37"/>
        <v>24</v>
      </c>
    </row>
    <row r="136" spans="13:27" x14ac:dyDescent="0.2">
      <c r="M136" s="5">
        <f t="shared" si="38"/>
        <v>53.7</v>
      </c>
      <c r="N136" s="43">
        <f t="shared" si="54"/>
        <v>45474</v>
      </c>
      <c r="O136" s="31">
        <f t="shared" si="44"/>
        <v>114537.0776757485</v>
      </c>
      <c r="P136" s="31">
        <f t="shared" si="58"/>
        <v>63000</v>
      </c>
      <c r="Q136" s="30">
        <f t="shared" si="45"/>
        <v>9137.9160855668961</v>
      </c>
      <c r="R136" s="31">
        <f t="shared" si="46"/>
        <v>25280.883682215601</v>
      </c>
      <c r="S136" s="47">
        <f t="shared" si="47"/>
        <v>456791.13084144588</v>
      </c>
      <c r="T136" s="30">
        <f t="shared" si="48"/>
        <v>299181.33297298983</v>
      </c>
      <c r="U136" s="31">
        <f t="shared" si="43"/>
        <v>39000</v>
      </c>
      <c r="V136" s="30">
        <f t="shared" si="49"/>
        <v>126823.39570263909</v>
      </c>
      <c r="W136" s="38">
        <f t="shared" si="51"/>
        <v>1018652.151424422</v>
      </c>
      <c r="X136" s="69">
        <f t="shared" si="59"/>
        <v>1184475.5471270613</v>
      </c>
      <c r="Y136">
        <f t="shared" si="50"/>
        <v>0</v>
      </c>
      <c r="Z136" s="30">
        <f t="shared" si="53"/>
        <v>113723.81016645525</v>
      </c>
      <c r="AA136" s="2">
        <f t="shared" ca="1" si="37"/>
        <v>24</v>
      </c>
    </row>
    <row r="137" spans="13:27" x14ac:dyDescent="0.2">
      <c r="M137" s="5">
        <f t="shared" si="38"/>
        <v>53.8</v>
      </c>
      <c r="N137" s="43">
        <f t="shared" si="54"/>
        <v>45505</v>
      </c>
      <c r="O137" s="31">
        <f t="shared" si="44"/>
        <v>115890.04864261839</v>
      </c>
      <c r="P137" s="31">
        <f t="shared" si="58"/>
        <v>63000</v>
      </c>
      <c r="Q137" s="30">
        <f t="shared" si="45"/>
        <v>9202.6429911729956</v>
      </c>
      <c r="R137" s="31">
        <f t="shared" si="46"/>
        <v>25459.956608297962</v>
      </c>
      <c r="S137" s="47">
        <f t="shared" si="47"/>
        <v>460026.73468490614</v>
      </c>
      <c r="T137" s="30">
        <f t="shared" si="48"/>
        <v>301300.53408154851</v>
      </c>
      <c r="U137" s="31">
        <f t="shared" si="43"/>
        <v>39000</v>
      </c>
      <c r="V137" s="30">
        <f t="shared" si="49"/>
        <v>127996.72808886612</v>
      </c>
      <c r="W137" s="38">
        <f t="shared" si="51"/>
        <v>1026992.6041636784</v>
      </c>
      <c r="X137" s="69">
        <f t="shared" si="59"/>
        <v>1193989.3322525446</v>
      </c>
      <c r="Y137">
        <f t="shared" si="50"/>
        <v>0</v>
      </c>
      <c r="Z137" s="30">
        <f t="shared" si="53"/>
        <v>115112.68715513431</v>
      </c>
      <c r="AA137" s="2">
        <f t="shared" ca="1" si="37"/>
        <v>24</v>
      </c>
    </row>
    <row r="138" spans="13:27" x14ac:dyDescent="0.2">
      <c r="M138" s="5">
        <f t="shared" si="38"/>
        <v>53.9</v>
      </c>
      <c r="N138" s="43">
        <f t="shared" si="54"/>
        <v>45536</v>
      </c>
      <c r="O138" s="31">
        <f t="shared" si="44"/>
        <v>117252.60315383694</v>
      </c>
      <c r="P138" s="31">
        <f t="shared" si="58"/>
        <v>63000</v>
      </c>
      <c r="Q138" s="30">
        <f t="shared" si="45"/>
        <v>9267.828379027138</v>
      </c>
      <c r="R138" s="31">
        <f t="shared" si="46"/>
        <v>25640.297967606741</v>
      </c>
      <c r="S138" s="47">
        <f t="shared" si="47"/>
        <v>463285.25738892425</v>
      </c>
      <c r="T138" s="30">
        <f t="shared" si="48"/>
        <v>303434.74619795947</v>
      </c>
      <c r="U138" s="31">
        <f t="shared" si="43"/>
        <v>39000</v>
      </c>
      <c r="V138" s="30">
        <f t="shared" si="49"/>
        <v>129178.37157949559</v>
      </c>
      <c r="W138" s="38">
        <f t="shared" si="51"/>
        <v>1035392.1351098377</v>
      </c>
      <c r="X138" s="69">
        <f t="shared" si="59"/>
        <v>1203570.5066893334</v>
      </c>
      <c r="Y138">
        <f t="shared" si="50"/>
        <v>0</v>
      </c>
      <c r="Z138" s="30">
        <f t="shared" si="53"/>
        <v>116511.40202248318</v>
      </c>
      <c r="AA138" s="2">
        <f t="shared" ref="AA138:AA201" ca="1" si="69">IF(AND(TODAY()&lt;N139,OR(TODAY()&gt;N138,TODAY()=N138)),ROW(Z138),AA137)</f>
        <v>24</v>
      </c>
    </row>
    <row r="139" spans="13:27" x14ac:dyDescent="0.2">
      <c r="M139" s="5">
        <f t="shared" ref="M139:M203" si="70">(INT((((YEAR(N139)-YEAR(DATE(1970,10,16)))*12+MONTH(N139)-MONTH(DATE(1970,10,16)))/12)*10))/10</f>
        <v>54</v>
      </c>
      <c r="N139" s="43">
        <f t="shared" si="54"/>
        <v>45566</v>
      </c>
      <c r="O139" s="31">
        <f t="shared" si="44"/>
        <v>118624.80909284329</v>
      </c>
      <c r="P139" s="31">
        <f t="shared" si="58"/>
        <v>63000</v>
      </c>
      <c r="Q139" s="30">
        <f t="shared" si="45"/>
        <v>9333.4754967119134</v>
      </c>
      <c r="R139" s="31">
        <f t="shared" si="46"/>
        <v>25821.91674487729</v>
      </c>
      <c r="S139" s="47">
        <f t="shared" si="47"/>
        <v>466566.86129542912</v>
      </c>
      <c r="T139" s="30">
        <f t="shared" si="48"/>
        <v>305584.07565019501</v>
      </c>
      <c r="U139" s="31">
        <f t="shared" si="43"/>
        <v>39000</v>
      </c>
      <c r="V139" s="30">
        <f t="shared" si="49"/>
        <v>130368.38504485035</v>
      </c>
      <c r="W139" s="38">
        <f t="shared" si="51"/>
        <v>1043851.1627335324</v>
      </c>
      <c r="X139" s="69">
        <f t="shared" si="59"/>
        <v>1213219.5477783829</v>
      </c>
      <c r="Y139">
        <f t="shared" si="50"/>
        <v>0</v>
      </c>
      <c r="Z139" s="30">
        <f t="shared" si="53"/>
        <v>117920.02445347577</v>
      </c>
      <c r="AA139" s="2">
        <f t="shared" ca="1" si="69"/>
        <v>24</v>
      </c>
    </row>
    <row r="140" spans="13:27" x14ac:dyDescent="0.2">
      <c r="M140" s="5">
        <f t="shared" si="70"/>
        <v>54</v>
      </c>
      <c r="N140" s="43">
        <f t="shared" si="54"/>
        <v>45597</v>
      </c>
      <c r="O140" s="31">
        <f t="shared" si="44"/>
        <v>120006.73482391761</v>
      </c>
      <c r="P140" s="31">
        <f t="shared" si="58"/>
        <v>63000</v>
      </c>
      <c r="Q140" s="30">
        <f t="shared" si="45"/>
        <v>9399.5876148136231</v>
      </c>
      <c r="R140" s="31">
        <f t="shared" si="46"/>
        <v>26004.821988486838</v>
      </c>
      <c r="S140" s="47">
        <f t="shared" si="47"/>
        <v>469871.70989627176</v>
      </c>
      <c r="T140" s="30">
        <f t="shared" si="48"/>
        <v>307748.62951938389</v>
      </c>
      <c r="U140" s="31">
        <f t="shared" si="43"/>
        <v>39000</v>
      </c>
      <c r="V140" s="30">
        <f t="shared" si="49"/>
        <v>131566.82777225136</v>
      </c>
      <c r="W140" s="38">
        <f t="shared" si="51"/>
        <v>1052370.1084695617</v>
      </c>
      <c r="X140" s="69">
        <f t="shared" si="59"/>
        <v>1222936.936241813</v>
      </c>
      <c r="Y140">
        <f t="shared" si="50"/>
        <v>0</v>
      </c>
      <c r="Z140" s="30">
        <f t="shared" si="53"/>
        <v>119338.62462668787</v>
      </c>
      <c r="AA140" s="2">
        <f t="shared" ca="1" si="69"/>
        <v>24</v>
      </c>
    </row>
    <row r="141" spans="13:27" x14ac:dyDescent="0.2">
      <c r="M141" s="5">
        <f t="shared" si="70"/>
        <v>54.1</v>
      </c>
      <c r="N141" s="43">
        <f t="shared" si="54"/>
        <v>45627</v>
      </c>
      <c r="O141" s="31">
        <f t="shared" si="44"/>
        <v>121398.44919558703</v>
      </c>
      <c r="P141" s="31">
        <f t="shared" si="58"/>
        <v>63000</v>
      </c>
      <c r="Q141" s="30">
        <f t="shared" si="45"/>
        <v>9466.1680270852194</v>
      </c>
      <c r="R141" s="31">
        <f t="shared" si="46"/>
        <v>26189.022810905288</v>
      </c>
      <c r="S141" s="47">
        <f t="shared" si="47"/>
        <v>473199.96784137032</v>
      </c>
      <c r="T141" s="30">
        <f t="shared" si="48"/>
        <v>309928.5156451462</v>
      </c>
      <c r="U141" s="31">
        <f t="shared" si="43"/>
        <v>39000</v>
      </c>
      <c r="V141" s="30">
        <f t="shared" si="49"/>
        <v>132773.75946897146</v>
      </c>
      <c r="W141" s="38">
        <f t="shared" si="51"/>
        <v>1060949.3967378875</v>
      </c>
      <c r="X141" s="69">
        <f t="shared" si="59"/>
        <v>1232723.156206859</v>
      </c>
      <c r="Y141">
        <f t="shared" si="50"/>
        <v>0</v>
      </c>
      <c r="Z141" s="30">
        <f t="shared" si="53"/>
        <v>120767.27321779357</v>
      </c>
      <c r="AA141" s="2">
        <f t="shared" ca="1" si="69"/>
        <v>24</v>
      </c>
    </row>
    <row r="142" spans="13:27" x14ac:dyDescent="0.2">
      <c r="M142" s="5">
        <f t="shared" si="70"/>
        <v>54.2</v>
      </c>
      <c r="N142" s="43">
        <f t="shared" si="54"/>
        <v>45658</v>
      </c>
      <c r="O142" s="31">
        <f t="shared" si="44"/>
        <v>122800.02154405578</v>
      </c>
      <c r="P142" s="31">
        <f t="shared" ref="P142" si="71">IF(M142&gt;50,MAX(P141,P130+$J$13),MAX(P141,P130+$I$13))</f>
        <v>69500</v>
      </c>
      <c r="Q142" s="30">
        <f t="shared" si="45"/>
        <v>9533.2200506104055</v>
      </c>
      <c r="R142" s="31">
        <f t="shared" si="46"/>
        <v>26374.5283891492</v>
      </c>
      <c r="S142" s="47">
        <f t="shared" si="47"/>
        <v>476551.80094691337</v>
      </c>
      <c r="T142" s="30">
        <f t="shared" si="48"/>
        <v>312123.84263096598</v>
      </c>
      <c r="U142" s="31">
        <f t="shared" si="43"/>
        <v>39000</v>
      </c>
      <c r="V142" s="30">
        <f t="shared" si="49"/>
        <v>134072.57359854336</v>
      </c>
      <c r="W142" s="38">
        <f t="shared" si="51"/>
        <v>1069589.4549647809</v>
      </c>
      <c r="X142" s="69">
        <f t="shared" si="59"/>
        <v>1242662.0285633244</v>
      </c>
      <c r="Y142">
        <f t="shared" si="50"/>
        <v>0</v>
      </c>
      <c r="Z142" s="30">
        <f t="shared" si="53"/>
        <v>122206.04140308627</v>
      </c>
      <c r="AA142" s="2">
        <f t="shared" ca="1" si="69"/>
        <v>24</v>
      </c>
    </row>
    <row r="143" spans="13:27" x14ac:dyDescent="0.2">
      <c r="M143" s="5">
        <f t="shared" si="70"/>
        <v>54.3</v>
      </c>
      <c r="N143" s="43">
        <f t="shared" si="54"/>
        <v>45689</v>
      </c>
      <c r="O143" s="31">
        <f t="shared" si="44"/>
        <v>124211.52169665952</v>
      </c>
      <c r="P143" s="31">
        <f t="shared" si="58"/>
        <v>69500</v>
      </c>
      <c r="Q143" s="30">
        <f t="shared" si="45"/>
        <v>9600.7470259688962</v>
      </c>
      <c r="R143" s="31">
        <f t="shared" si="46"/>
        <v>26561.347965239005</v>
      </c>
      <c r="S143" s="47">
        <f t="shared" si="47"/>
        <v>479927.37620362069</v>
      </c>
      <c r="T143" s="30">
        <f t="shared" si="48"/>
        <v>314334.71984960197</v>
      </c>
      <c r="U143" s="31">
        <f t="shared" ref="U143" si="72">U142+$K$18</f>
        <v>40500</v>
      </c>
      <c r="V143" s="30">
        <f t="shared" si="49"/>
        <v>135380.58766153303</v>
      </c>
      <c r="W143" s="38">
        <f t="shared" si="51"/>
        <v>1078290.7136041149</v>
      </c>
      <c r="X143" s="69">
        <f t="shared" si="59"/>
        <v>1254171.3012656479</v>
      </c>
      <c r="Y143">
        <f t="shared" si="50"/>
        <v>0</v>
      </c>
      <c r="Z143" s="30">
        <f t="shared" si="53"/>
        <v>123655.00086302479</v>
      </c>
      <c r="AA143" s="2">
        <f t="shared" ca="1" si="69"/>
        <v>24</v>
      </c>
    </row>
    <row r="144" spans="13:27" x14ac:dyDescent="0.2">
      <c r="M144" s="5">
        <f t="shared" si="70"/>
        <v>54.4</v>
      </c>
      <c r="N144" s="43">
        <f t="shared" si="54"/>
        <v>45717</v>
      </c>
      <c r="O144" s="31">
        <f t="shared" si="44"/>
        <v>125633.0199753442</v>
      </c>
      <c r="P144" s="31">
        <f t="shared" si="58"/>
        <v>69500</v>
      </c>
      <c r="Q144" s="30">
        <f t="shared" si="45"/>
        <v>9668.7523174028429</v>
      </c>
      <c r="R144" s="31">
        <f t="shared" si="46"/>
        <v>26749.49084665945</v>
      </c>
      <c r="S144" s="47">
        <f t="shared" si="47"/>
        <v>483326.861785063</v>
      </c>
      <c r="T144" s="30">
        <f t="shared" si="48"/>
        <v>321378.77411527041</v>
      </c>
      <c r="U144" s="31">
        <f t="shared" ref="U144" si="73">U143</f>
        <v>40500</v>
      </c>
      <c r="V144" s="30">
        <f t="shared" si="49"/>
        <v>136697.86682413556</v>
      </c>
      <c r="W144" s="38">
        <f t="shared" si="51"/>
        <v>1091871.1228255446</v>
      </c>
      <c r="X144" s="69">
        <f t="shared" si="59"/>
        <v>1269068.9896496802</v>
      </c>
      <c r="Y144">
        <f t="shared" si="50"/>
        <v>0</v>
      </c>
      <c r="Z144" s="30">
        <f t="shared" si="53"/>
        <v>125114.22378580454</v>
      </c>
      <c r="AA144" s="2">
        <f t="shared" ca="1" si="69"/>
        <v>24</v>
      </c>
    </row>
    <row r="145" spans="13:27" x14ac:dyDescent="0.2">
      <c r="M145" s="5">
        <f t="shared" si="70"/>
        <v>54.5</v>
      </c>
      <c r="N145" s="43">
        <f t="shared" si="54"/>
        <v>45748</v>
      </c>
      <c r="O145" s="31">
        <f t="shared" si="44"/>
        <v>127064.58720016955</v>
      </c>
      <c r="P145" s="31">
        <f t="shared" si="58"/>
        <v>69500</v>
      </c>
      <c r="Q145" s="30">
        <f t="shared" si="45"/>
        <v>9737.2393129844459</v>
      </c>
      <c r="R145" s="31">
        <f t="shared" si="46"/>
        <v>26938.966406823289</v>
      </c>
      <c r="S145" s="47">
        <f t="shared" si="47"/>
        <v>486750.4270560405</v>
      </c>
      <c r="T145" s="30">
        <f t="shared" si="48"/>
        <v>323655.20709858689</v>
      </c>
      <c r="U145" s="31">
        <f t="shared" si="43"/>
        <v>40500</v>
      </c>
      <c r="V145" s="30">
        <f t="shared" si="49"/>
        <v>138024.47671413986</v>
      </c>
      <c r="W145" s="38">
        <f t="shared" si="51"/>
        <v>1100730.2099455586</v>
      </c>
      <c r="X145" s="69">
        <f t="shared" si="59"/>
        <v>1279254.6866596984</v>
      </c>
      <c r="Y145">
        <f t="shared" si="50"/>
        <v>0</v>
      </c>
      <c r="Z145" s="30">
        <f t="shared" si="53"/>
        <v>126583.78287095399</v>
      </c>
      <c r="AA145" s="2">
        <f t="shared" ca="1" si="69"/>
        <v>24</v>
      </c>
    </row>
    <row r="146" spans="13:27" x14ac:dyDescent="0.2">
      <c r="M146" s="5">
        <f t="shared" si="70"/>
        <v>54.5</v>
      </c>
      <c r="N146" s="43">
        <f t="shared" si="54"/>
        <v>45778</v>
      </c>
      <c r="O146" s="31">
        <f t="shared" si="44"/>
        <v>128506.29469283743</v>
      </c>
      <c r="P146" s="31">
        <f t="shared" si="58"/>
        <v>69500</v>
      </c>
      <c r="Q146" s="30">
        <f t="shared" si="45"/>
        <v>9806.211424784753</v>
      </c>
      <c r="R146" s="31">
        <f t="shared" si="46"/>
        <v>27129.784085538286</v>
      </c>
      <c r="S146" s="47">
        <f t="shared" si="47"/>
        <v>490198.24258102081</v>
      </c>
      <c r="T146" s="30">
        <f t="shared" si="48"/>
        <v>325947.76481553522</v>
      </c>
      <c r="U146" s="31">
        <f t="shared" si="43"/>
        <v>40500</v>
      </c>
      <c r="V146" s="30">
        <f t="shared" si="49"/>
        <v>139360.48342419835</v>
      </c>
      <c r="W146" s="38">
        <f t="shared" si="51"/>
        <v>1109652.0489326732</v>
      </c>
      <c r="X146" s="69">
        <f t="shared" si="59"/>
        <v>1289512.5323568715</v>
      </c>
      <c r="Y146">
        <f t="shared" si="50"/>
        <v>0</v>
      </c>
      <c r="Z146" s="30">
        <f t="shared" si="53"/>
        <v>128063.75133295657</v>
      </c>
      <c r="AA146" s="2">
        <f t="shared" ca="1" si="69"/>
        <v>24</v>
      </c>
    </row>
    <row r="147" spans="13:27" x14ac:dyDescent="0.2">
      <c r="M147" s="5">
        <f t="shared" si="70"/>
        <v>54.6</v>
      </c>
      <c r="N147" s="43">
        <f t="shared" si="54"/>
        <v>45809</v>
      </c>
      <c r="O147" s="31">
        <f t="shared" si="44"/>
        <v>129958.21428024503</v>
      </c>
      <c r="P147" s="31">
        <f t="shared" si="58"/>
        <v>69500</v>
      </c>
      <c r="Q147" s="30">
        <f t="shared" si="45"/>
        <v>9875.6720890436445</v>
      </c>
      <c r="R147" s="31">
        <f t="shared" si="46"/>
        <v>27321.953389477516</v>
      </c>
      <c r="S147" s="47">
        <f t="shared" si="47"/>
        <v>493670.48013263638</v>
      </c>
      <c r="T147" s="30">
        <f t="shared" si="48"/>
        <v>328256.56148297858</v>
      </c>
      <c r="U147" s="31">
        <f t="shared" si="43"/>
        <v>40500</v>
      </c>
      <c r="V147" s="30">
        <f t="shared" si="49"/>
        <v>140705.95351511976</v>
      </c>
      <c r="W147" s="38">
        <f t="shared" si="51"/>
        <v>1118637.0842792795</v>
      </c>
      <c r="X147" s="69">
        <f t="shared" si="59"/>
        <v>1299843.0377943993</v>
      </c>
      <c r="Y147">
        <f t="shared" si="50"/>
        <v>0</v>
      </c>
      <c r="Z147" s="30">
        <f t="shared" si="53"/>
        <v>129554.20290489834</v>
      </c>
      <c r="AA147" s="2">
        <f t="shared" ca="1" si="69"/>
        <v>24</v>
      </c>
    </row>
    <row r="148" spans="13:27" x14ac:dyDescent="0.2">
      <c r="M148" s="5">
        <f t="shared" si="70"/>
        <v>54.7</v>
      </c>
      <c r="N148" s="43">
        <f t="shared" si="54"/>
        <v>45839</v>
      </c>
      <c r="O148" s="31">
        <f t="shared" si="44"/>
        <v>131420.41829806342</v>
      </c>
      <c r="P148" s="31">
        <f t="shared" si="58"/>
        <v>69500</v>
      </c>
      <c r="Q148" s="30">
        <f t="shared" si="45"/>
        <v>9945.6247663410377</v>
      </c>
      <c r="R148" s="31">
        <f t="shared" si="46"/>
        <v>27515.483892652981</v>
      </c>
      <c r="S148" s="47">
        <f t="shared" si="47"/>
        <v>497167.31270024256</v>
      </c>
      <c r="T148" s="30">
        <f t="shared" si="48"/>
        <v>330581.71212681633</v>
      </c>
      <c r="U148" s="31">
        <f t="shared" si="43"/>
        <v>40500</v>
      </c>
      <c r="V148" s="30">
        <f t="shared" si="49"/>
        <v>142060.95401918521</v>
      </c>
      <c r="W148" s="38">
        <f t="shared" si="51"/>
        <v>1127685.7636262577</v>
      </c>
      <c r="X148" s="69">
        <f t="shared" si="59"/>
        <v>1310246.7176454428</v>
      </c>
      <c r="Y148">
        <f t="shared" si="50"/>
        <v>0</v>
      </c>
      <c r="Z148" s="30">
        <f t="shared" si="53"/>
        <v>131055.21184214136</v>
      </c>
      <c r="AA148" s="2">
        <f t="shared" ca="1" si="69"/>
        <v>24</v>
      </c>
    </row>
    <row r="149" spans="13:27" x14ac:dyDescent="0.2">
      <c r="M149" s="5">
        <f t="shared" si="70"/>
        <v>54.8</v>
      </c>
      <c r="N149" s="43">
        <f t="shared" si="54"/>
        <v>45870</v>
      </c>
      <c r="O149" s="31">
        <f t="shared" si="44"/>
        <v>132892.97959434136</v>
      </c>
      <c r="P149" s="31">
        <f t="shared" si="58"/>
        <v>69500</v>
      </c>
      <c r="Q149" s="30">
        <f t="shared" si="45"/>
        <v>10016.072941769287</v>
      </c>
      <c r="R149" s="31">
        <f t="shared" si="46"/>
        <v>27710.385236892605</v>
      </c>
      <c r="S149" s="47">
        <f t="shared" si="47"/>
        <v>500688.91449853592</v>
      </c>
      <c r="T149" s="30">
        <f t="shared" si="48"/>
        <v>332923.3325877146</v>
      </c>
      <c r="U149" s="31">
        <f t="shared" si="43"/>
        <v>40500</v>
      </c>
      <c r="V149" s="30">
        <f t="shared" si="49"/>
        <v>143425.55244348777</v>
      </c>
      <c r="W149" s="38">
        <f t="shared" si="51"/>
        <v>1136798.537785277</v>
      </c>
      <c r="X149" s="69">
        <f t="shared" si="59"/>
        <v>1320724.0902287648</v>
      </c>
      <c r="Y149">
        <f t="shared" si="50"/>
        <v>0</v>
      </c>
      <c r="Z149" s="30">
        <f t="shared" si="53"/>
        <v>132566.85292602322</v>
      </c>
      <c r="AA149" s="2">
        <f t="shared" ca="1" si="69"/>
        <v>24</v>
      </c>
    </row>
    <row r="150" spans="13:27" x14ac:dyDescent="0.2">
      <c r="M150" s="5">
        <f t="shared" si="70"/>
        <v>54.9</v>
      </c>
      <c r="N150" s="43">
        <f t="shared" si="54"/>
        <v>45901</v>
      </c>
      <c r="O150" s="31">
        <f t="shared" si="44"/>
        <v>134375.97153313461</v>
      </c>
      <c r="P150" s="31">
        <f t="shared" si="58"/>
        <v>69500</v>
      </c>
      <c r="Q150" s="30">
        <f t="shared" si="45"/>
        <v>10087.020125106819</v>
      </c>
      <c r="R150" s="31">
        <f t="shared" si="46"/>
        <v>27906.667132320596</v>
      </c>
      <c r="S150" s="47">
        <f t="shared" si="47"/>
        <v>504235.46097623388</v>
      </c>
      <c r="T150" s="30">
        <f t="shared" si="48"/>
        <v>335281.53952687758</v>
      </c>
      <c r="U150" s="31">
        <f t="shared" si="43"/>
        <v>40500</v>
      </c>
      <c r="V150" s="30">
        <f t="shared" si="49"/>
        <v>144799.81677329581</v>
      </c>
      <c r="W150" s="38">
        <f t="shared" si="51"/>
        <v>1145975.860761256</v>
      </c>
      <c r="X150" s="69">
        <f t="shared" si="59"/>
        <v>1331275.6775345518</v>
      </c>
      <c r="Y150">
        <f t="shared" si="50"/>
        <v>0</v>
      </c>
      <c r="Z150" s="30">
        <f t="shared" si="53"/>
        <v>134089.20146758255</v>
      </c>
      <c r="AA150" s="2">
        <f t="shared" ca="1" si="69"/>
        <v>24</v>
      </c>
    </row>
    <row r="151" spans="13:27" x14ac:dyDescent="0.2">
      <c r="M151" s="5">
        <f t="shared" si="70"/>
        <v>55</v>
      </c>
      <c r="N151" s="43">
        <f t="shared" si="54"/>
        <v>45931</v>
      </c>
      <c r="O151" s="31">
        <f t="shared" si="44"/>
        <v>135869.46799816098</v>
      </c>
      <c r="P151" s="31">
        <f t="shared" si="58"/>
        <v>69500</v>
      </c>
      <c r="Q151" s="30">
        <f t="shared" si="45"/>
        <v>10158.469850992993</v>
      </c>
      <c r="R151" s="31">
        <f t="shared" si="46"/>
        <v>28104.3393578412</v>
      </c>
      <c r="S151" s="47">
        <f t="shared" si="47"/>
        <v>507807.12882481556</v>
      </c>
      <c r="T151" s="30">
        <f t="shared" si="48"/>
        <v>337656.45043185964</v>
      </c>
      <c r="U151" s="31">
        <f t="shared" si="43"/>
        <v>40500</v>
      </c>
      <c r="V151" s="30">
        <f t="shared" si="49"/>
        <v>146183.81547544</v>
      </c>
      <c r="W151" s="38">
        <f t="shared" si="51"/>
        <v>1155218.1897749815</v>
      </c>
      <c r="X151" s="69">
        <f t="shared" si="59"/>
        <v>1341902.0052504216</v>
      </c>
      <c r="Y151">
        <f t="shared" si="50"/>
        <v>0</v>
      </c>
      <c r="Z151" s="30">
        <f t="shared" si="53"/>
        <v>135622.33331131126</v>
      </c>
      <c r="AA151" s="2">
        <f t="shared" ca="1" si="69"/>
        <v>24</v>
      </c>
    </row>
    <row r="152" spans="13:27" x14ac:dyDescent="0.2">
      <c r="M152" s="5">
        <f t="shared" si="70"/>
        <v>55</v>
      </c>
      <c r="N152" s="43">
        <f t="shared" si="54"/>
        <v>45962</v>
      </c>
      <c r="O152" s="31">
        <f t="shared" si="44"/>
        <v>137373.54339648128</v>
      </c>
      <c r="P152" s="31">
        <f t="shared" si="58"/>
        <v>69500</v>
      </c>
      <c r="Q152" s="30">
        <f t="shared" si="45"/>
        <v>10230.425679104193</v>
      </c>
      <c r="R152" s="31">
        <f t="shared" si="46"/>
        <v>28303.411761625906</v>
      </c>
      <c r="S152" s="47">
        <f t="shared" si="47"/>
        <v>511404.09598732466</v>
      </c>
      <c r="T152" s="30">
        <f t="shared" si="48"/>
        <v>340048.18362241867</v>
      </c>
      <c r="U152" s="31">
        <f t="shared" ref="U152:U202" si="74">U151</f>
        <v>40500</v>
      </c>
      <c r="V152" s="30">
        <f t="shared" si="49"/>
        <v>147577.61750172437</v>
      </c>
      <c r="W152" s="38">
        <f t="shared" si="51"/>
        <v>1164525.9852858877</v>
      </c>
      <c r="X152" s="69">
        <f t="shared" si="59"/>
        <v>1352603.602787612</v>
      </c>
      <c r="Y152">
        <f t="shared" si="50"/>
        <v>0</v>
      </c>
      <c r="Z152" s="30">
        <f t="shared" si="53"/>
        <v>137166.32483893307</v>
      </c>
      <c r="AA152" s="2">
        <f t="shared" ca="1" si="69"/>
        <v>24</v>
      </c>
    </row>
    <row r="153" spans="13:27" x14ac:dyDescent="0.2">
      <c r="M153" s="5">
        <f t="shared" si="70"/>
        <v>55.1</v>
      </c>
      <c r="N153" s="43">
        <f t="shared" si="54"/>
        <v>45992</v>
      </c>
      <c r="O153" s="31">
        <f t="shared" ref="O153:O216" si="75">IF(YEAR(N153)&lt;2020,O152*(1+$J$23/12)+$I$13/12,O152*(1+$J$23/12)+$J$13/12)</f>
        <v>138888.27266220635</v>
      </c>
      <c r="P153" s="31">
        <f t="shared" si="58"/>
        <v>69500</v>
      </c>
      <c r="Q153" s="30">
        <f t="shared" ref="Q153:Q216" si="76">Q152*(1+$J$23/12)+$I$19/12</f>
        <v>10302.891194331181</v>
      </c>
      <c r="R153" s="31">
        <f t="shared" ref="R153:R216" si="77">IF(YEAR(N153)&lt;2020,R152*(1+$J$23/12)+$I$14/12,R152*(1+$J$23/12)+$J$14/12)</f>
        <v>28503.894261604091</v>
      </c>
      <c r="S153" s="47">
        <f t="shared" ref="S153:S216" si="78">S152*(1+$J$23/12)+$I$15/12</f>
        <v>515026.54166723485</v>
      </c>
      <c r="T153" s="30">
        <f t="shared" ref="T153:T216" si="79">IF(MONTH(N153)=3,T152*(1+$J$23/12)+(0.05*($J$42*((1+$J$43)^(YEAR(N153)-2014)))),T152*(1+$J$23/12))</f>
        <v>342456.85825641081</v>
      </c>
      <c r="U153" s="31">
        <f t="shared" si="74"/>
        <v>40500</v>
      </c>
      <c r="V153" s="30">
        <f t="shared" ref="V153:V216" si="80">IF(YEAR(N153)&lt;2025,V152*(1+$J$23/12)+$I$16/12,V152*(1+$J$23/12)+$K$16/12)</f>
        <v>148981.29229236158</v>
      </c>
      <c r="W153" s="38">
        <f t="shared" si="51"/>
        <v>1173899.711014996</v>
      </c>
      <c r="X153" s="69">
        <f t="shared" si="59"/>
        <v>1363381.0033073577</v>
      </c>
      <c r="Y153">
        <f t="shared" ref="Y153:Y216" si="81">IF(N153=$J$21,ROW(N153),Y152)</f>
        <v>0</v>
      </c>
      <c r="Z153" s="30">
        <f t="shared" si="53"/>
        <v>138721.25297320884</v>
      </c>
      <c r="AA153" s="2">
        <f t="shared" ca="1" si="69"/>
        <v>24</v>
      </c>
    </row>
    <row r="154" spans="13:27" x14ac:dyDescent="0.2">
      <c r="M154" s="5">
        <f t="shared" si="70"/>
        <v>55.2</v>
      </c>
      <c r="N154" s="43">
        <f t="shared" si="54"/>
        <v>46023</v>
      </c>
      <c r="O154" s="31">
        <f t="shared" si="75"/>
        <v>140413.7312602303</v>
      </c>
      <c r="P154" s="31">
        <f t="shared" ref="P154" si="82">IF(M154&gt;50,MAX(P153,P142+$J$13),MAX(P153,P142+$I$13))</f>
        <v>76000</v>
      </c>
      <c r="Q154" s="30">
        <f t="shared" si="76"/>
        <v>10375.870006957693</v>
      </c>
      <c r="R154" s="31">
        <f t="shared" si="77"/>
        <v>28705.79684595712</v>
      </c>
      <c r="S154" s="47">
        <f t="shared" si="78"/>
        <v>518674.64633737778</v>
      </c>
      <c r="T154" s="30">
        <f t="shared" si="79"/>
        <v>344882.59433572704</v>
      </c>
      <c r="U154" s="31">
        <f t="shared" si="74"/>
        <v>40500</v>
      </c>
      <c r="V154" s="30">
        <f t="shared" si="80"/>
        <v>150394.90977943249</v>
      </c>
      <c r="W154" s="38">
        <f t="shared" ref="W154:W217" si="83">O154+Q154+R154+S154+T154+Z154</f>
        <v>1183339.8339680191</v>
      </c>
      <c r="X154" s="69">
        <f t="shared" si="59"/>
        <v>1374234.7437474516</v>
      </c>
      <c r="Y154">
        <f t="shared" si="81"/>
        <v>0</v>
      </c>
      <c r="Z154" s="30">
        <f t="shared" ref="Z154:Z217" si="84">Z153*(1+$J$23/12)+IF(M154&lt;50,$I$20/12,$J$20/12)</f>
        <v>140287.19518176909</v>
      </c>
      <c r="AA154" s="2">
        <f t="shared" ca="1" si="69"/>
        <v>24</v>
      </c>
    </row>
    <row r="155" spans="13:27" x14ac:dyDescent="0.2">
      <c r="M155" s="5">
        <f t="shared" si="70"/>
        <v>55.3</v>
      </c>
      <c r="N155" s="43">
        <f t="shared" si="54"/>
        <v>46054</v>
      </c>
      <c r="O155" s="31">
        <f t="shared" si="75"/>
        <v>141949.99518999027</v>
      </c>
      <c r="P155" s="31">
        <f t="shared" si="58"/>
        <v>76000</v>
      </c>
      <c r="Q155" s="30">
        <f t="shared" si="76"/>
        <v>10449.365752840311</v>
      </c>
      <c r="R155" s="31">
        <f t="shared" si="77"/>
        <v>28909.129573615985</v>
      </c>
      <c r="S155" s="47">
        <f t="shared" si="78"/>
        <v>522348.59174893418</v>
      </c>
      <c r="T155" s="30">
        <f t="shared" si="79"/>
        <v>347325.51271227177</v>
      </c>
      <c r="U155" s="31">
        <f t="shared" ref="U155" si="85">U154+$K$18</f>
        <v>42000</v>
      </c>
      <c r="V155" s="30">
        <f t="shared" si="80"/>
        <v>151818.54039037015</v>
      </c>
      <c r="W155" s="38">
        <f t="shared" si="83"/>
        <v>1192846.8244586259</v>
      </c>
      <c r="X155" s="69">
        <f t="shared" si="59"/>
        <v>1386665.364848996</v>
      </c>
      <c r="Y155">
        <f t="shared" si="81"/>
        <v>0</v>
      </c>
      <c r="Z155" s="30">
        <f t="shared" si="84"/>
        <v>141864.2294809733</v>
      </c>
      <c r="AA155" s="2">
        <f t="shared" ca="1" si="69"/>
        <v>24</v>
      </c>
    </row>
    <row r="156" spans="13:27" x14ac:dyDescent="0.2">
      <c r="M156" s="5">
        <f t="shared" si="70"/>
        <v>55.4</v>
      </c>
      <c r="N156" s="43">
        <f t="shared" si="54"/>
        <v>46082</v>
      </c>
      <c r="O156" s="31">
        <f t="shared" si="75"/>
        <v>143497.14098925269</v>
      </c>
      <c r="P156" s="31">
        <f t="shared" si="58"/>
        <v>76000</v>
      </c>
      <c r="Q156" s="30">
        <f t="shared" si="76"/>
        <v>10523.382093589596</v>
      </c>
      <c r="R156" s="31">
        <f t="shared" si="77"/>
        <v>29113.902574762433</v>
      </c>
      <c r="S156" s="47">
        <f t="shared" si="78"/>
        <v>526048.56094048917</v>
      </c>
      <c r="T156" s="30">
        <f t="shared" si="79"/>
        <v>354675.51451071852</v>
      </c>
      <c r="U156" s="31">
        <f t="shared" ref="U156" si="86">U155</f>
        <v>42000</v>
      </c>
      <c r="V156" s="30">
        <f t="shared" si="80"/>
        <v>153252.25505146862</v>
      </c>
      <c r="W156" s="38">
        <f t="shared" si="83"/>
        <v>1207310.9355486094</v>
      </c>
      <c r="X156" s="69">
        <f t="shared" si="59"/>
        <v>1402563.1906000781</v>
      </c>
      <c r="Y156">
        <f t="shared" si="81"/>
        <v>0</v>
      </c>
      <c r="Z156" s="30">
        <f t="shared" si="84"/>
        <v>143452.43443979687</v>
      </c>
      <c r="AA156" s="2">
        <f t="shared" ca="1" si="69"/>
        <v>24</v>
      </c>
    </row>
    <row r="157" spans="13:27" x14ac:dyDescent="0.2">
      <c r="M157" s="5">
        <f t="shared" si="70"/>
        <v>55.5</v>
      </c>
      <c r="N157" s="43">
        <f t="shared" ref="N157:N190" si="87">DATE(YEAR(N156),MONTH(N156)+1,1)</f>
        <v>46113</v>
      </c>
      <c r="O157" s="31">
        <f t="shared" si="75"/>
        <v>145055.24573792654</v>
      </c>
      <c r="P157" s="31">
        <f t="shared" si="58"/>
        <v>76000</v>
      </c>
      <c r="Q157" s="30">
        <f t="shared" si="76"/>
        <v>10597.922716752522</v>
      </c>
      <c r="R157" s="31">
        <f t="shared" si="77"/>
        <v>29320.126051333667</v>
      </c>
      <c r="S157" s="47">
        <f t="shared" si="78"/>
        <v>529774.73824715102</v>
      </c>
      <c r="T157" s="30">
        <f t="shared" si="79"/>
        <v>357187.79940516944</v>
      </c>
      <c r="U157" s="31">
        <f t="shared" si="74"/>
        <v>42000</v>
      </c>
      <c r="V157" s="30">
        <f t="shared" si="80"/>
        <v>154696.12519141653</v>
      </c>
      <c r="W157" s="38">
        <f t="shared" si="83"/>
        <v>1216987.7213420786</v>
      </c>
      <c r="X157" s="69">
        <f t="shared" si="59"/>
        <v>1413683.8465334952</v>
      </c>
      <c r="Y157">
        <f t="shared" si="81"/>
        <v>0</v>
      </c>
      <c r="Z157" s="30">
        <f t="shared" si="84"/>
        <v>145051.88918374543</v>
      </c>
      <c r="AA157" s="2">
        <f t="shared" ca="1" si="69"/>
        <v>24</v>
      </c>
    </row>
    <row r="158" spans="13:27" x14ac:dyDescent="0.2">
      <c r="M158" s="5">
        <f t="shared" si="70"/>
        <v>55.5</v>
      </c>
      <c r="N158" s="43">
        <f t="shared" si="87"/>
        <v>46143</v>
      </c>
      <c r="O158" s="31">
        <f t="shared" si="75"/>
        <v>146624.38706190352</v>
      </c>
      <c r="P158" s="31">
        <f t="shared" si="58"/>
        <v>76000</v>
      </c>
      <c r="Q158" s="30">
        <f t="shared" si="76"/>
        <v>10672.991335996187</v>
      </c>
      <c r="R158" s="31">
        <f t="shared" si="77"/>
        <v>29527.810277530614</v>
      </c>
      <c r="S158" s="47">
        <f t="shared" si="78"/>
        <v>533527.30930973496</v>
      </c>
      <c r="T158" s="30">
        <f t="shared" si="79"/>
        <v>359717.87965095608</v>
      </c>
      <c r="U158" s="31">
        <f t="shared" si="74"/>
        <v>42000</v>
      </c>
      <c r="V158" s="30">
        <f t="shared" si="80"/>
        <v>156150.22274485574</v>
      </c>
      <c r="W158" s="38">
        <f t="shared" si="83"/>
        <v>1226733.0510349183</v>
      </c>
      <c r="X158" s="69">
        <f t="shared" si="59"/>
        <v>1424883.2737797741</v>
      </c>
      <c r="Y158">
        <f t="shared" si="81"/>
        <v>0</v>
      </c>
      <c r="Z158" s="30">
        <f t="shared" si="84"/>
        <v>146662.67339879696</v>
      </c>
      <c r="AA158" s="2">
        <f t="shared" ca="1" si="69"/>
        <v>24</v>
      </c>
    </row>
    <row r="159" spans="13:27" x14ac:dyDescent="0.2">
      <c r="M159" s="5">
        <f t="shared" si="70"/>
        <v>55.6</v>
      </c>
      <c r="N159" s="43">
        <f t="shared" si="87"/>
        <v>46174</v>
      </c>
      <c r="O159" s="31">
        <f t="shared" si="75"/>
        <v>148204.64313692533</v>
      </c>
      <c r="P159" s="31">
        <f t="shared" si="58"/>
        <v>76000</v>
      </c>
      <c r="Q159" s="30">
        <f t="shared" si="76"/>
        <v>10748.591691292826</v>
      </c>
      <c r="R159" s="31">
        <f t="shared" si="77"/>
        <v>29736.96560032979</v>
      </c>
      <c r="S159" s="47">
        <f t="shared" si="78"/>
        <v>537306.46108401229</v>
      </c>
      <c r="T159" s="30">
        <f t="shared" si="79"/>
        <v>362265.8812984837</v>
      </c>
      <c r="U159" s="31">
        <f t="shared" si="74"/>
        <v>42000</v>
      </c>
      <c r="V159" s="30">
        <f t="shared" si="80"/>
        <v>157614.62015596515</v>
      </c>
      <c r="W159" s="38">
        <f t="shared" si="83"/>
        <v>1236547.4101464157</v>
      </c>
      <c r="X159" s="69">
        <f t="shared" si="59"/>
        <v>1436162.0303023811</v>
      </c>
      <c r="Y159">
        <f t="shared" si="81"/>
        <v>0</v>
      </c>
      <c r="Z159" s="30">
        <f t="shared" si="84"/>
        <v>148284.86733537179</v>
      </c>
      <c r="AA159" s="2">
        <f t="shared" ca="1" si="69"/>
        <v>24</v>
      </c>
    </row>
    <row r="160" spans="13:27" x14ac:dyDescent="0.2">
      <c r="M160" s="5">
        <f t="shared" si="70"/>
        <v>55.7</v>
      </c>
      <c r="N160" s="43">
        <f t="shared" si="87"/>
        <v>46204</v>
      </c>
      <c r="O160" s="31">
        <f t="shared" si="75"/>
        <v>149796.09269247853</v>
      </c>
      <c r="P160" s="31">
        <f t="shared" si="58"/>
        <v>76000</v>
      </c>
      <c r="Q160" s="30">
        <f t="shared" si="76"/>
        <v>10824.72754910615</v>
      </c>
      <c r="R160" s="31">
        <f t="shared" si="77"/>
        <v>29947.602439998791</v>
      </c>
      <c r="S160" s="47">
        <f t="shared" si="78"/>
        <v>541112.38185002399</v>
      </c>
      <c r="T160" s="30">
        <f t="shared" si="79"/>
        <v>364831.9312910146</v>
      </c>
      <c r="U160" s="31">
        <f t="shared" si="74"/>
        <v>42000</v>
      </c>
      <c r="V160" s="30">
        <f t="shared" si="80"/>
        <v>159089.39038206992</v>
      </c>
      <c r="W160" s="38">
        <f t="shared" si="83"/>
        <v>1246431.2876349527</v>
      </c>
      <c r="X160" s="69">
        <f t="shared" si="59"/>
        <v>1447520.6780170226</v>
      </c>
      <c r="Y160">
        <f t="shared" si="81"/>
        <v>0</v>
      </c>
      <c r="Z160" s="30">
        <f t="shared" si="84"/>
        <v>149918.55181233067</v>
      </c>
      <c r="AA160" s="2">
        <f t="shared" ca="1" si="69"/>
        <v>24</v>
      </c>
    </row>
    <row r="161" spans="13:27" x14ac:dyDescent="0.2">
      <c r="M161" s="5">
        <f t="shared" si="70"/>
        <v>55.8</v>
      </c>
      <c r="N161" s="43">
        <f t="shared" si="87"/>
        <v>46235</v>
      </c>
      <c r="O161" s="31">
        <f t="shared" si="75"/>
        <v>151398.81501571691</v>
      </c>
      <c r="P161" s="31">
        <f t="shared" si="58"/>
        <v>76000</v>
      </c>
      <c r="Q161" s="30">
        <f t="shared" si="76"/>
        <v>10901.402702578986</v>
      </c>
      <c r="R161" s="31">
        <f t="shared" si="77"/>
        <v>30159.731290615448</v>
      </c>
      <c r="S161" s="47">
        <f t="shared" si="78"/>
        <v>544945.2612214617</v>
      </c>
      <c r="T161" s="30">
        <f t="shared" si="79"/>
        <v>367416.15747099259</v>
      </c>
      <c r="U161" s="31">
        <f t="shared" si="74"/>
        <v>42000</v>
      </c>
      <c r="V161" s="30">
        <f t="shared" si="80"/>
        <v>160574.60689727624</v>
      </c>
      <c r="W161" s="38">
        <f t="shared" si="83"/>
        <v>1256385.175922367</v>
      </c>
      <c r="X161" s="69">
        <f t="shared" si="59"/>
        <v>1458959.7828196434</v>
      </c>
      <c r="Y161">
        <f t="shared" si="81"/>
        <v>0</v>
      </c>
      <c r="Z161" s="30">
        <f t="shared" si="84"/>
        <v>151563.80822100135</v>
      </c>
      <c r="AA161" s="2">
        <f t="shared" ca="1" si="69"/>
        <v>24</v>
      </c>
    </row>
    <row r="162" spans="13:27" x14ac:dyDescent="0.2">
      <c r="M162" s="5">
        <f t="shared" si="70"/>
        <v>55.9</v>
      </c>
      <c r="N162" s="43">
        <f t="shared" si="87"/>
        <v>46266</v>
      </c>
      <c r="O162" s="31">
        <f t="shared" si="75"/>
        <v>153012.88995541158</v>
      </c>
      <c r="P162" s="31">
        <f t="shared" si="58"/>
        <v>76000</v>
      </c>
      <c r="Q162" s="30">
        <f t="shared" si="76"/>
        <v>10978.620971722254</v>
      </c>
      <c r="R162" s="31">
        <f t="shared" si="77"/>
        <v>30373.362720590641</v>
      </c>
      <c r="S162" s="47">
        <f t="shared" si="78"/>
        <v>548805.29015511367</v>
      </c>
      <c r="T162" s="30">
        <f t="shared" si="79"/>
        <v>370018.68858641211</v>
      </c>
      <c r="U162" s="31">
        <f t="shared" si="74"/>
        <v>42000</v>
      </c>
      <c r="V162" s="30">
        <f t="shared" si="80"/>
        <v>162070.34369613195</v>
      </c>
      <c r="W162" s="38">
        <f t="shared" si="83"/>
        <v>1266409.5709184839</v>
      </c>
      <c r="X162" s="69">
        <f t="shared" si="59"/>
        <v>1470479.9146146157</v>
      </c>
      <c r="Y162">
        <f t="shared" si="81"/>
        <v>0</v>
      </c>
      <c r="Z162" s="30">
        <f t="shared" si="84"/>
        <v>153220.71852923345</v>
      </c>
      <c r="AA162" s="2">
        <f t="shared" ca="1" si="69"/>
        <v>24</v>
      </c>
    </row>
    <row r="163" spans="13:27" x14ac:dyDescent="0.2">
      <c r="M163" s="5">
        <f t="shared" si="70"/>
        <v>56</v>
      </c>
      <c r="N163" s="43">
        <f t="shared" si="87"/>
        <v>46296</v>
      </c>
      <c r="O163" s="31">
        <f t="shared" si="75"/>
        <v>154638.39792592908</v>
      </c>
      <c r="P163" s="31">
        <f t="shared" ref="P163:P225" si="88">P162</f>
        <v>76000</v>
      </c>
      <c r="Q163" s="30">
        <f t="shared" si="76"/>
        <v>11056.386203605287</v>
      </c>
      <c r="R163" s="31">
        <f t="shared" si="77"/>
        <v>30588.507373194825</v>
      </c>
      <c r="S163" s="47">
        <f t="shared" si="78"/>
        <v>552692.66096037906</v>
      </c>
      <c r="T163" s="30">
        <f t="shared" si="79"/>
        <v>372639.65429723251</v>
      </c>
      <c r="U163" s="31">
        <f t="shared" si="74"/>
        <v>42000</v>
      </c>
      <c r="V163" s="30">
        <f t="shared" si="80"/>
        <v>163576.6752973129</v>
      </c>
      <c r="W163" s="38">
        <f t="shared" si="83"/>
        <v>1276504.972045823</v>
      </c>
      <c r="X163" s="69">
        <f t="shared" si="59"/>
        <v>1482081.6473431359</v>
      </c>
      <c r="Y163">
        <f t="shared" si="81"/>
        <v>0</v>
      </c>
      <c r="Z163" s="30">
        <f t="shared" si="84"/>
        <v>154889.3652854822</v>
      </c>
      <c r="AA163" s="2">
        <f t="shared" ca="1" si="69"/>
        <v>24</v>
      </c>
    </row>
    <row r="164" spans="13:27" x14ac:dyDescent="0.2">
      <c r="M164" s="5">
        <f t="shared" si="70"/>
        <v>56</v>
      </c>
      <c r="N164" s="43">
        <f t="shared" si="87"/>
        <v>46327</v>
      </c>
      <c r="O164" s="31">
        <f t="shared" si="75"/>
        <v>156275.41991123772</v>
      </c>
      <c r="P164" s="31">
        <f t="shared" si="88"/>
        <v>76000</v>
      </c>
      <c r="Q164" s="30">
        <f t="shared" si="76"/>
        <v>11134.702272547491</v>
      </c>
      <c r="R164" s="31">
        <f t="shared" si="77"/>
        <v>30805.175967088289</v>
      </c>
      <c r="S164" s="47">
        <f t="shared" si="78"/>
        <v>556607.56730884837</v>
      </c>
      <c r="T164" s="30">
        <f t="shared" si="79"/>
        <v>375279.18518183788</v>
      </c>
      <c r="U164" s="31">
        <f t="shared" si="74"/>
        <v>42000</v>
      </c>
      <c r="V164" s="30">
        <f t="shared" si="80"/>
        <v>165093.67674733556</v>
      </c>
      <c r="W164" s="38">
        <f t="shared" si="83"/>
        <v>1286671.8822644809</v>
      </c>
      <c r="X164" s="69">
        <f t="shared" si="59"/>
        <v>1493765.5590118165</v>
      </c>
      <c r="Y164">
        <f t="shared" si="81"/>
        <v>0</v>
      </c>
      <c r="Z164" s="30">
        <f t="shared" si="84"/>
        <v>156569.83162292105</v>
      </c>
      <c r="AA164" s="2">
        <f t="shared" ca="1" si="69"/>
        <v>24</v>
      </c>
    </row>
    <row r="165" spans="13:27" x14ac:dyDescent="0.2">
      <c r="M165" s="5">
        <f t="shared" si="70"/>
        <v>56.1</v>
      </c>
      <c r="N165" s="43">
        <f t="shared" si="87"/>
        <v>46357</v>
      </c>
      <c r="O165" s="31">
        <f t="shared" si="75"/>
        <v>157924.03746894232</v>
      </c>
      <c r="P165" s="31">
        <f t="shared" si="88"/>
        <v>76000</v>
      </c>
      <c r="Q165" s="30">
        <f t="shared" si="76"/>
        <v>11213.573080311369</v>
      </c>
      <c r="R165" s="31">
        <f t="shared" si="77"/>
        <v>31023.379296855164</v>
      </c>
      <c r="S165" s="47">
        <f t="shared" si="78"/>
        <v>560550.20424395276</v>
      </c>
      <c r="T165" s="30">
        <f t="shared" si="79"/>
        <v>377937.41274354258</v>
      </c>
      <c r="U165" s="31">
        <f t="shared" si="74"/>
        <v>42000</v>
      </c>
      <c r="V165" s="30">
        <f t="shared" si="80"/>
        <v>166621.42362429586</v>
      </c>
      <c r="W165" s="38">
        <f t="shared" si="83"/>
        <v>1296910.8080971877</v>
      </c>
      <c r="X165" s="69">
        <f t="shared" si="59"/>
        <v>1505532.2317214834</v>
      </c>
      <c r="Y165">
        <f t="shared" si="81"/>
        <v>0</v>
      </c>
      <c r="Z165" s="30">
        <f t="shared" si="84"/>
        <v>158262.20126358341</v>
      </c>
      <c r="AA165" s="2">
        <f t="shared" ca="1" si="69"/>
        <v>24</v>
      </c>
    </row>
    <row r="166" spans="13:27" x14ac:dyDescent="0.2">
      <c r="M166" s="5">
        <f t="shared" si="70"/>
        <v>56.2</v>
      </c>
      <c r="N166" s="43">
        <f t="shared" si="87"/>
        <v>46388</v>
      </c>
      <c r="O166" s="31">
        <f t="shared" si="75"/>
        <v>159584.33273434732</v>
      </c>
      <c r="P166" s="31">
        <f t="shared" ref="P166" si="89">IF(M166&gt;50,MAX(P165,P154+$J$13),MAX(P165,P154+$I$13))</f>
        <v>82500</v>
      </c>
      <c r="Q166" s="30">
        <f t="shared" si="76"/>
        <v>11293.002556296908</v>
      </c>
      <c r="R166" s="31">
        <f t="shared" si="77"/>
        <v>31243.128233541222</v>
      </c>
      <c r="S166" s="47">
        <f t="shared" si="78"/>
        <v>564520.76819068077</v>
      </c>
      <c r="T166" s="30">
        <f t="shared" si="79"/>
        <v>380614.46941714268</v>
      </c>
      <c r="U166" s="31">
        <f t="shared" si="74"/>
        <v>42000</v>
      </c>
      <c r="V166" s="30">
        <f t="shared" si="80"/>
        <v>168159.99204163463</v>
      </c>
      <c r="W166" s="38">
        <f t="shared" si="83"/>
        <v>1307222.2596545427</v>
      </c>
      <c r="X166" s="69">
        <f t="shared" si="59"/>
        <v>1517382.2516961773</v>
      </c>
      <c r="Y166">
        <f t="shared" si="81"/>
        <v>0</v>
      </c>
      <c r="Z166" s="30">
        <f t="shared" si="84"/>
        <v>159966.5585225338</v>
      </c>
      <c r="AA166" s="2">
        <f t="shared" ca="1" si="69"/>
        <v>24</v>
      </c>
    </row>
    <row r="167" spans="13:27" x14ac:dyDescent="0.2">
      <c r="M167" s="5">
        <f>(INT((((YEAR(N167)-YEAR(DATE(1970,10,16)))*12+MONTH(N167)-MONTH(DATE(1970,10,16)))/12)*10))/10</f>
        <v>56.3</v>
      </c>
      <c r="N167" s="43">
        <f t="shared" si="87"/>
        <v>46419</v>
      </c>
      <c r="O167" s="31">
        <f t="shared" si="75"/>
        <v>161256.38842454893</v>
      </c>
      <c r="P167" s="31">
        <f t="shared" si="88"/>
        <v>82500</v>
      </c>
      <c r="Q167" s="30">
        <f t="shared" si="76"/>
        <v>11372.994657737345</v>
      </c>
      <c r="R167" s="31">
        <f t="shared" si="77"/>
        <v>31464.433725195471</v>
      </c>
      <c r="S167" s="47">
        <f t="shared" si="78"/>
        <v>568519.45696536475</v>
      </c>
      <c r="T167" s="30">
        <f t="shared" si="79"/>
        <v>383310.48857551411</v>
      </c>
      <c r="U167" s="31">
        <f t="shared" ref="U167" si="90">U166+$K$18</f>
        <v>43500</v>
      </c>
      <c r="V167" s="30">
        <f t="shared" si="80"/>
        <v>169709.45865192954</v>
      </c>
      <c r="W167" s="38">
        <f t="shared" si="83"/>
        <v>1317606.750660429</v>
      </c>
      <c r="X167" s="69">
        <f t="shared" si="59"/>
        <v>1530816.2093123586</v>
      </c>
      <c r="Y167">
        <f t="shared" si="81"/>
        <v>167</v>
      </c>
      <c r="Z167" s="30">
        <f t="shared" si="84"/>
        <v>161682.98831206842</v>
      </c>
      <c r="AA167" s="2">
        <f t="shared" ca="1" si="69"/>
        <v>24</v>
      </c>
    </row>
    <row r="168" spans="13:27" x14ac:dyDescent="0.2">
      <c r="M168" s="5">
        <f t="shared" si="70"/>
        <v>56.4</v>
      </c>
      <c r="N168" s="43">
        <f t="shared" si="87"/>
        <v>46447</v>
      </c>
      <c r="O168" s="31">
        <f t="shared" si="75"/>
        <v>162940.28784255614</v>
      </c>
      <c r="P168" s="31">
        <f t="shared" si="88"/>
        <v>82500</v>
      </c>
      <c r="Q168" s="30">
        <f t="shared" si="76"/>
        <v>11453.553369896317</v>
      </c>
      <c r="R168" s="31">
        <f t="shared" si="77"/>
        <v>31687.306797415607</v>
      </c>
      <c r="S168" s="47">
        <f t="shared" si="78"/>
        <v>572546.46978553606</v>
      </c>
      <c r="T168" s="30">
        <f t="shared" si="79"/>
        <v>390988.73064424319</v>
      </c>
      <c r="U168" s="31">
        <f t="shared" ref="U168" si="91">U167</f>
        <v>43500</v>
      </c>
      <c r="V168" s="30">
        <f t="shared" si="80"/>
        <v>171269.90065071406</v>
      </c>
      <c r="W168" s="38">
        <f t="shared" si="83"/>
        <v>1333027.9245855929</v>
      </c>
      <c r="X168" s="69">
        <f t="shared" ref="X168:X231" si="92">O168+Q168+R168+S168+T168+V168+Z168+U168</f>
        <v>1547797.825236307</v>
      </c>
      <c r="Y168">
        <f t="shared" si="81"/>
        <v>167</v>
      </c>
      <c r="Z168" s="30">
        <f t="shared" si="84"/>
        <v>163411.57614594558</v>
      </c>
      <c r="AA168" s="2">
        <f t="shared" ca="1" si="69"/>
        <v>24</v>
      </c>
    </row>
    <row r="169" spans="13:27" x14ac:dyDescent="0.2">
      <c r="M169" s="5">
        <f t="shared" si="70"/>
        <v>56.5</v>
      </c>
      <c r="N169" s="43">
        <f t="shared" si="87"/>
        <v>46478</v>
      </c>
      <c r="O169" s="31">
        <f t="shared" si="75"/>
        <v>164636.11488144091</v>
      </c>
      <c r="P169" s="31">
        <f t="shared" si="88"/>
        <v>82500</v>
      </c>
      <c r="Q169" s="30">
        <f t="shared" si="76"/>
        <v>11534.682706266416</v>
      </c>
      <c r="R169" s="31">
        <f t="shared" si="77"/>
        <v>31911.7585538973</v>
      </c>
      <c r="S169" s="47">
        <f t="shared" si="78"/>
        <v>576602.00727985031</v>
      </c>
      <c r="T169" s="30">
        <f t="shared" si="79"/>
        <v>393758.23415297322</v>
      </c>
      <c r="U169" s="31">
        <f t="shared" si="74"/>
        <v>43500</v>
      </c>
      <c r="V169" s="30">
        <f t="shared" si="80"/>
        <v>172841.39578032331</v>
      </c>
      <c r="W169" s="38">
        <f t="shared" si="83"/>
        <v>1343595.2057180742</v>
      </c>
      <c r="X169" s="69">
        <f t="shared" si="92"/>
        <v>1559936.6014983975</v>
      </c>
      <c r="Y169">
        <f t="shared" si="81"/>
        <v>167</v>
      </c>
      <c r="Z169" s="30">
        <f t="shared" si="84"/>
        <v>165152.40814364603</v>
      </c>
      <c r="AA169" s="2">
        <f t="shared" ca="1" si="69"/>
        <v>24</v>
      </c>
    </row>
    <row r="170" spans="13:27" x14ac:dyDescent="0.2">
      <c r="M170" s="5">
        <f t="shared" si="70"/>
        <v>56.5</v>
      </c>
      <c r="N170" s="43">
        <f t="shared" si="87"/>
        <v>46508</v>
      </c>
      <c r="O170" s="31">
        <f t="shared" si="75"/>
        <v>166343.95402851776</v>
      </c>
      <c r="P170" s="31">
        <f t="shared" si="88"/>
        <v>82500</v>
      </c>
      <c r="Q170" s="30">
        <f t="shared" si="76"/>
        <v>11616.386708769136</v>
      </c>
      <c r="R170" s="31">
        <f t="shared" si="77"/>
        <v>32137.800176987406</v>
      </c>
      <c r="S170" s="47">
        <f t="shared" si="78"/>
        <v>580686.27149808255</v>
      </c>
      <c r="T170" s="30">
        <f t="shared" si="79"/>
        <v>396547.35497822345</v>
      </c>
      <c r="U170" s="31">
        <f t="shared" si="74"/>
        <v>43500</v>
      </c>
      <c r="V170" s="30">
        <f t="shared" si="80"/>
        <v>174424.02233376727</v>
      </c>
      <c r="W170" s="38">
        <f t="shared" si="83"/>
        <v>1354237.338425244</v>
      </c>
      <c r="X170" s="69">
        <f t="shared" si="92"/>
        <v>1572161.3607590112</v>
      </c>
      <c r="Y170">
        <f t="shared" si="81"/>
        <v>167</v>
      </c>
      <c r="Z170" s="30">
        <f t="shared" si="84"/>
        <v>166905.57103466353</v>
      </c>
      <c r="AA170" s="2">
        <f t="shared" ca="1" si="69"/>
        <v>24</v>
      </c>
    </row>
    <row r="171" spans="13:27" x14ac:dyDescent="0.2">
      <c r="M171" s="5">
        <f t="shared" si="70"/>
        <v>56.6</v>
      </c>
      <c r="N171" s="43">
        <f t="shared" si="87"/>
        <v>46539</v>
      </c>
      <c r="O171" s="31">
        <f t="shared" si="75"/>
        <v>168063.89036955309</v>
      </c>
      <c r="P171" s="31">
        <f t="shared" si="88"/>
        <v>82500</v>
      </c>
      <c r="Q171" s="30">
        <f t="shared" si="76"/>
        <v>11698.66944795625</v>
      </c>
      <c r="R171" s="31">
        <f t="shared" si="77"/>
        <v>32365.442928241067</v>
      </c>
      <c r="S171" s="47">
        <f t="shared" si="78"/>
        <v>584799.46592119394</v>
      </c>
      <c r="T171" s="30">
        <f t="shared" si="79"/>
        <v>399356.23207598587</v>
      </c>
      <c r="U171" s="31">
        <f t="shared" si="74"/>
        <v>43500</v>
      </c>
      <c r="V171" s="30">
        <f t="shared" si="80"/>
        <v>176017.85915863147</v>
      </c>
      <c r="W171" s="38">
        <f t="shared" si="83"/>
        <v>1364954.8529057559</v>
      </c>
      <c r="X171" s="69">
        <f t="shared" si="92"/>
        <v>1584472.7120643873</v>
      </c>
      <c r="Y171">
        <f t="shared" si="81"/>
        <v>167</v>
      </c>
      <c r="Z171" s="30">
        <f t="shared" si="84"/>
        <v>168671.15216282575</v>
      </c>
      <c r="AA171" s="2">
        <f t="shared" ca="1" si="69"/>
        <v>24</v>
      </c>
    </row>
    <row r="172" spans="13:27" x14ac:dyDescent="0.2">
      <c r="M172" s="5">
        <f t="shared" si="70"/>
        <v>56.7</v>
      </c>
      <c r="N172" s="43">
        <f t="shared" si="87"/>
        <v>46569</v>
      </c>
      <c r="O172" s="31">
        <f t="shared" si="75"/>
        <v>169796.00959300407</v>
      </c>
      <c r="P172" s="31">
        <f t="shared" si="88"/>
        <v>82500</v>
      </c>
      <c r="Q172" s="30">
        <f t="shared" si="76"/>
        <v>11781.535023212607</v>
      </c>
      <c r="R172" s="31">
        <f t="shared" si="77"/>
        <v>32594.698148982774</v>
      </c>
      <c r="S172" s="47">
        <f t="shared" si="78"/>
        <v>588941.79547146906</v>
      </c>
      <c r="T172" s="30">
        <f t="shared" si="79"/>
        <v>402185.00538652408</v>
      </c>
      <c r="U172" s="31">
        <f t="shared" si="74"/>
        <v>43500</v>
      </c>
      <c r="V172" s="30">
        <f t="shared" si="80"/>
        <v>177622.98566100514</v>
      </c>
      <c r="W172" s="38">
        <f t="shared" si="83"/>
        <v>1375748.2831138384</v>
      </c>
      <c r="X172" s="69">
        <f t="shared" si="92"/>
        <v>1596871.2687748435</v>
      </c>
      <c r="Y172">
        <f t="shared" si="81"/>
        <v>167</v>
      </c>
      <c r="Z172" s="30">
        <f t="shared" si="84"/>
        <v>170449.23949064576</v>
      </c>
      <c r="AA172" s="2">
        <f t="shared" ca="1" si="69"/>
        <v>24</v>
      </c>
    </row>
    <row r="173" spans="13:27" x14ac:dyDescent="0.2">
      <c r="M173" s="5">
        <f t="shared" si="70"/>
        <v>56.8</v>
      </c>
      <c r="N173" s="43">
        <f t="shared" si="87"/>
        <v>46600</v>
      </c>
      <c r="O173" s="31">
        <f t="shared" si="75"/>
        <v>171540.39799428784</v>
      </c>
      <c r="P173" s="31">
        <f t="shared" si="88"/>
        <v>82500</v>
      </c>
      <c r="Q173" s="30">
        <f t="shared" si="76"/>
        <v>11864.987562960363</v>
      </c>
      <c r="R173" s="31">
        <f t="shared" si="77"/>
        <v>32825.577260871403</v>
      </c>
      <c r="S173" s="47">
        <f t="shared" si="78"/>
        <v>593113.4665227253</v>
      </c>
      <c r="T173" s="30">
        <f t="shared" si="79"/>
        <v>405033.81584134529</v>
      </c>
      <c r="U173" s="31">
        <f t="shared" si="74"/>
        <v>43500</v>
      </c>
      <c r="V173" s="30">
        <f t="shared" si="80"/>
        <v>179239.48180943727</v>
      </c>
      <c r="W173" s="38">
        <f t="shared" si="83"/>
        <v>1386618.1667858949</v>
      </c>
      <c r="X173" s="69">
        <f t="shared" si="92"/>
        <v>1609357.6485953322</v>
      </c>
      <c r="Y173">
        <f t="shared" si="81"/>
        <v>167</v>
      </c>
      <c r="Z173" s="30">
        <f t="shared" si="84"/>
        <v>172239.92160370451</v>
      </c>
      <c r="AA173" s="2">
        <f t="shared" ca="1" si="69"/>
        <v>24</v>
      </c>
    </row>
    <row r="174" spans="13:27" x14ac:dyDescent="0.2">
      <c r="M174" s="5">
        <f t="shared" si="70"/>
        <v>56.9</v>
      </c>
      <c r="N174" s="43">
        <f t="shared" si="87"/>
        <v>46631</v>
      </c>
      <c r="O174" s="31">
        <f t="shared" si="75"/>
        <v>173297.14248008069</v>
      </c>
      <c r="P174" s="31">
        <f t="shared" si="88"/>
        <v>82500</v>
      </c>
      <c r="Q174" s="30">
        <f t="shared" si="76"/>
        <v>11949.031224864666</v>
      </c>
      <c r="R174" s="31">
        <f t="shared" si="77"/>
        <v>33058.091766469239</v>
      </c>
      <c r="S174" s="47">
        <f t="shared" si="78"/>
        <v>597314.68691059458</v>
      </c>
      <c r="T174" s="30">
        <f t="shared" si="79"/>
        <v>407902.8053702215</v>
      </c>
      <c r="U174" s="31">
        <f t="shared" si="74"/>
        <v>43500</v>
      </c>
      <c r="V174" s="30">
        <f t="shared" si="80"/>
        <v>180867.4281389208</v>
      </c>
      <c r="W174" s="38">
        <f t="shared" si="83"/>
        <v>1397565.045467295</v>
      </c>
      <c r="X174" s="69">
        <f t="shared" si="92"/>
        <v>1621932.4736062158</v>
      </c>
      <c r="Y174">
        <f t="shared" si="81"/>
        <v>167</v>
      </c>
      <c r="Z174" s="30">
        <f t="shared" si="84"/>
        <v>174043.2877150641</v>
      </c>
      <c r="AA174" s="2">
        <f t="shared" ca="1" si="69"/>
        <v>24</v>
      </c>
    </row>
    <row r="175" spans="13:27" x14ac:dyDescent="0.2">
      <c r="M175" s="5">
        <f t="shared" si="70"/>
        <v>57</v>
      </c>
      <c r="N175" s="43">
        <f t="shared" si="87"/>
        <v>46661</v>
      </c>
      <c r="O175" s="31">
        <f t="shared" si="75"/>
        <v>175066.33057264792</v>
      </c>
      <c r="P175" s="31">
        <f t="shared" si="88"/>
        <v>82500</v>
      </c>
      <c r="Q175" s="30">
        <f t="shared" si="76"/>
        <v>12033.67019604079</v>
      </c>
      <c r="R175" s="31">
        <f t="shared" si="77"/>
        <v>33292.253249815061</v>
      </c>
      <c r="S175" s="47">
        <f t="shared" si="78"/>
        <v>601545.665942878</v>
      </c>
      <c r="T175" s="30">
        <f t="shared" si="79"/>
        <v>410792.11690826056</v>
      </c>
      <c r="U175" s="31">
        <f t="shared" si="74"/>
        <v>43500</v>
      </c>
      <c r="V175" s="30">
        <f t="shared" si="80"/>
        <v>182506.90575490484</v>
      </c>
      <c r="W175" s="38">
        <f t="shared" si="83"/>
        <v>1408589.4645393549</v>
      </c>
      <c r="X175" s="69">
        <f t="shared" si="92"/>
        <v>1634596.3702942596</v>
      </c>
      <c r="Y175">
        <f t="shared" si="81"/>
        <v>167</v>
      </c>
      <c r="Z175" s="30">
        <f t="shared" si="84"/>
        <v>175859.42766971249</v>
      </c>
      <c r="AA175" s="2">
        <f t="shared" ca="1" si="69"/>
        <v>24</v>
      </c>
    </row>
    <row r="176" spans="13:27" x14ac:dyDescent="0.2">
      <c r="M176" s="5">
        <f t="shared" si="70"/>
        <v>57</v>
      </c>
      <c r="N176" s="43">
        <f t="shared" si="87"/>
        <v>46692</v>
      </c>
      <c r="O176" s="31">
        <f t="shared" si="75"/>
        <v>176848.05041420416</v>
      </c>
      <c r="P176" s="31">
        <f t="shared" si="88"/>
        <v>82500</v>
      </c>
      <c r="Q176" s="30">
        <f t="shared" si="76"/>
        <v>12118.908693262745</v>
      </c>
      <c r="R176" s="31">
        <f t="shared" si="77"/>
        <v>33528.073377001252</v>
      </c>
      <c r="S176" s="47">
        <f t="shared" si="78"/>
        <v>605806.61440997338</v>
      </c>
      <c r="T176" s="30">
        <f t="shared" si="79"/>
        <v>413701.89440302743</v>
      </c>
      <c r="U176" s="31">
        <f t="shared" si="74"/>
        <v>43500</v>
      </c>
      <c r="V176" s="30">
        <f t="shared" si="80"/>
        <v>184157.99633733544</v>
      </c>
      <c r="W176" s="38">
        <f t="shared" si="83"/>
        <v>1419691.9732465087</v>
      </c>
      <c r="X176" s="69">
        <f t="shared" si="92"/>
        <v>1647349.9695838441</v>
      </c>
      <c r="Y176">
        <f t="shared" si="81"/>
        <v>167</v>
      </c>
      <c r="Z176" s="30">
        <f t="shared" si="84"/>
        <v>177688.43194903963</v>
      </c>
      <c r="AA176" s="2">
        <f t="shared" ca="1" si="69"/>
        <v>24</v>
      </c>
    </row>
    <row r="177" spans="13:27" x14ac:dyDescent="0.2">
      <c r="M177" s="5">
        <f t="shared" si="70"/>
        <v>57.1</v>
      </c>
      <c r="N177" s="43">
        <f t="shared" si="87"/>
        <v>46722</v>
      </c>
      <c r="O177" s="31">
        <f t="shared" si="75"/>
        <v>178642.39077130475</v>
      </c>
      <c r="P177" s="31">
        <f t="shared" si="88"/>
        <v>82500</v>
      </c>
      <c r="Q177" s="30">
        <f t="shared" si="76"/>
        <v>12204.750963173356</v>
      </c>
      <c r="R177" s="31">
        <f t="shared" si="77"/>
        <v>33765.563896755011</v>
      </c>
      <c r="S177" s="47">
        <f t="shared" si="78"/>
        <v>610097.74459537736</v>
      </c>
      <c r="T177" s="30">
        <f t="shared" si="79"/>
        <v>416632.28282171552</v>
      </c>
      <c r="U177" s="31">
        <f t="shared" si="74"/>
        <v>43500</v>
      </c>
      <c r="V177" s="30">
        <f t="shared" si="80"/>
        <v>185820.78214472492</v>
      </c>
      <c r="W177" s="38">
        <f t="shared" si="83"/>
        <v>1430873.1247236715</v>
      </c>
      <c r="X177" s="69">
        <f t="shared" si="92"/>
        <v>1660193.9068683963</v>
      </c>
      <c r="Y177">
        <f t="shared" si="81"/>
        <v>167</v>
      </c>
      <c r="Z177" s="30">
        <f t="shared" si="84"/>
        <v>179530.39167534534</v>
      </c>
      <c r="AA177" s="2">
        <f t="shared" ca="1" si="69"/>
        <v>24</v>
      </c>
    </row>
    <row r="178" spans="13:27" x14ac:dyDescent="0.2">
      <c r="M178" s="5">
        <f t="shared" si="70"/>
        <v>57.2</v>
      </c>
      <c r="N178" s="43">
        <f t="shared" si="87"/>
        <v>46753</v>
      </c>
      <c r="O178" s="31">
        <f t="shared" si="75"/>
        <v>180449.44103926816</v>
      </c>
      <c r="P178" s="31">
        <f t="shared" ref="P178" si="93">IF(M178&gt;50,MAX(P177,P166+$J$13),MAX(P177,P166+$I$13))</f>
        <v>89000</v>
      </c>
      <c r="Q178" s="30">
        <f t="shared" si="76"/>
        <v>12291.201282495833</v>
      </c>
      <c r="R178" s="31">
        <f t="shared" si="77"/>
        <v>34004.736641023694</v>
      </c>
      <c r="S178" s="47">
        <f t="shared" si="78"/>
        <v>614419.27028626122</v>
      </c>
      <c r="T178" s="30">
        <f t="shared" si="79"/>
        <v>419583.42815836932</v>
      </c>
      <c r="U178" s="31">
        <f t="shared" si="74"/>
        <v>43500</v>
      </c>
      <c r="V178" s="30">
        <f t="shared" si="80"/>
        <v>187495.34601825007</v>
      </c>
      <c r="W178" s="38">
        <f t="shared" si="83"/>
        <v>1442133.4760237974</v>
      </c>
      <c r="X178" s="69">
        <f t="shared" si="92"/>
        <v>1673128.8220420475</v>
      </c>
      <c r="Y178">
        <f t="shared" si="81"/>
        <v>167</v>
      </c>
      <c r="Z178" s="30">
        <f t="shared" si="84"/>
        <v>181385.39861637904</v>
      </c>
      <c r="AA178" s="2">
        <f t="shared" ca="1" si="69"/>
        <v>24</v>
      </c>
    </row>
    <row r="179" spans="13:27" x14ac:dyDescent="0.2">
      <c r="M179" s="5">
        <f t="shared" si="70"/>
        <v>57.3</v>
      </c>
      <c r="N179" s="43">
        <f t="shared" si="87"/>
        <v>46784</v>
      </c>
      <c r="O179" s="31">
        <f t="shared" si="75"/>
        <v>182269.29124662964</v>
      </c>
      <c r="P179" s="31">
        <f t="shared" si="88"/>
        <v>89000</v>
      </c>
      <c r="Q179" s="30">
        <f t="shared" si="76"/>
        <v>12378.263958246846</v>
      </c>
      <c r="R179" s="31">
        <f t="shared" si="77"/>
        <v>34245.603525564278</v>
      </c>
      <c r="S179" s="47">
        <f t="shared" si="78"/>
        <v>618771.40678412223</v>
      </c>
      <c r="T179" s="30">
        <f t="shared" si="79"/>
        <v>422555.4774411578</v>
      </c>
      <c r="U179" s="31">
        <f t="shared" ref="U179" si="94">U178+$K$18</f>
        <v>45000</v>
      </c>
      <c r="V179" s="30">
        <f t="shared" si="80"/>
        <v>189181.77138587934</v>
      </c>
      <c r="W179" s="38">
        <f t="shared" si="83"/>
        <v>1453473.5881456325</v>
      </c>
      <c r="X179" s="69">
        <f t="shared" si="92"/>
        <v>1687655.3595315118</v>
      </c>
      <c r="Y179">
        <f t="shared" si="81"/>
        <v>167</v>
      </c>
      <c r="Z179" s="30">
        <f t="shared" si="84"/>
        <v>183253.54518991173</v>
      </c>
      <c r="AA179" s="2">
        <f t="shared" ca="1" si="69"/>
        <v>24</v>
      </c>
    </row>
    <row r="180" spans="13:27" x14ac:dyDescent="0.2">
      <c r="M180" s="5">
        <f t="shared" si="70"/>
        <v>57.4</v>
      </c>
      <c r="N180" s="43">
        <f t="shared" si="87"/>
        <v>46813</v>
      </c>
      <c r="O180" s="31">
        <f t="shared" si="75"/>
        <v>184102.0320596266</v>
      </c>
      <c r="P180" s="31">
        <f t="shared" si="88"/>
        <v>89000</v>
      </c>
      <c r="Q180" s="30">
        <f t="shared" si="76"/>
        <v>12465.943327951094</v>
      </c>
      <c r="R180" s="31">
        <f t="shared" si="77"/>
        <v>34488.176550537028</v>
      </c>
      <c r="S180" s="47">
        <f t="shared" si="78"/>
        <v>623154.37091550976</v>
      </c>
      <c r="T180" s="30">
        <f t="shared" si="79"/>
        <v>430586.15173930494</v>
      </c>
      <c r="U180" s="31">
        <f t="shared" ref="U180" si="95">U179</f>
        <v>45000</v>
      </c>
      <c r="V180" s="30">
        <f t="shared" si="80"/>
        <v>190880.14226652932</v>
      </c>
      <c r="W180" s="38">
        <f t="shared" si="83"/>
        <v>1469931.5990612698</v>
      </c>
      <c r="X180" s="69">
        <f t="shared" si="92"/>
        <v>1705811.7413277992</v>
      </c>
      <c r="Y180">
        <f t="shared" si="81"/>
        <v>167</v>
      </c>
      <c r="Z180" s="30">
        <f t="shared" si="84"/>
        <v>185134.92446834029</v>
      </c>
      <c r="AA180" s="2">
        <f t="shared" ca="1" si="69"/>
        <v>24</v>
      </c>
    </row>
    <row r="181" spans="13:27" x14ac:dyDescent="0.2">
      <c r="M181" s="5">
        <f t="shared" si="70"/>
        <v>57.5</v>
      </c>
      <c r="N181" s="43">
        <f t="shared" si="87"/>
        <v>46844</v>
      </c>
      <c r="O181" s="31">
        <f t="shared" si="75"/>
        <v>185947.75478671561</v>
      </c>
      <c r="P181" s="31">
        <f t="shared" si="88"/>
        <v>89000</v>
      </c>
      <c r="Q181" s="30">
        <f t="shared" si="76"/>
        <v>12554.243759857414</v>
      </c>
      <c r="R181" s="31">
        <f t="shared" si="77"/>
        <v>34732.467801103332</v>
      </c>
      <c r="S181" s="47">
        <f t="shared" si="78"/>
        <v>627568.38104282797</v>
      </c>
      <c r="T181" s="30">
        <f t="shared" si="79"/>
        <v>433636.13698079169</v>
      </c>
      <c r="U181" s="31">
        <f t="shared" si="74"/>
        <v>45000</v>
      </c>
      <c r="V181" s="30">
        <f t="shared" si="80"/>
        <v>192590.54327425058</v>
      </c>
      <c r="W181" s="38">
        <f t="shared" si="83"/>
        <v>1481468.6145546206</v>
      </c>
      <c r="X181" s="69">
        <f t="shared" si="92"/>
        <v>1719059.1578288712</v>
      </c>
      <c r="Y181">
        <f t="shared" si="81"/>
        <v>167</v>
      </c>
      <c r="Z181" s="30">
        <f t="shared" si="84"/>
        <v>187029.63018332439</v>
      </c>
      <c r="AA181" s="2">
        <f t="shared" ca="1" si="69"/>
        <v>24</v>
      </c>
    </row>
    <row r="182" spans="13:27" x14ac:dyDescent="0.2">
      <c r="M182" s="5">
        <f t="shared" si="70"/>
        <v>57.5</v>
      </c>
      <c r="N182" s="43">
        <f t="shared" si="87"/>
        <v>46874</v>
      </c>
      <c r="O182" s="31">
        <f t="shared" si="75"/>
        <v>187806.55138312149</v>
      </c>
      <c r="P182" s="31">
        <f t="shared" si="88"/>
        <v>89000</v>
      </c>
      <c r="Q182" s="30">
        <f t="shared" si="76"/>
        <v>12643.169653156405</v>
      </c>
      <c r="R182" s="31">
        <f t="shared" si="77"/>
        <v>34978.489448027816</v>
      </c>
      <c r="S182" s="47">
        <f t="shared" si="78"/>
        <v>632013.65707521467</v>
      </c>
      <c r="T182" s="30">
        <f t="shared" si="79"/>
        <v>436707.72628440562</v>
      </c>
      <c r="U182" s="31">
        <f t="shared" si="74"/>
        <v>45000</v>
      </c>
      <c r="V182" s="30">
        <f t="shared" si="80"/>
        <v>194313.05962244319</v>
      </c>
      <c r="W182" s="38">
        <f t="shared" si="83"/>
        <v>1493087.3505743823</v>
      </c>
      <c r="X182" s="69">
        <f t="shared" si="92"/>
        <v>1732400.4101968256</v>
      </c>
      <c r="Y182">
        <f t="shared" si="81"/>
        <v>167</v>
      </c>
      <c r="Z182" s="30">
        <f t="shared" si="84"/>
        <v>188937.75673045628</v>
      </c>
      <c r="AA182" s="2">
        <f t="shared" ca="1" si="69"/>
        <v>24</v>
      </c>
    </row>
    <row r="183" spans="13:27" x14ac:dyDescent="0.2">
      <c r="M183" s="5">
        <f t="shared" si="70"/>
        <v>57.6</v>
      </c>
      <c r="N183" s="43">
        <f t="shared" si="87"/>
        <v>46905</v>
      </c>
      <c r="O183" s="31">
        <f t="shared" si="75"/>
        <v>189678.5144554186</v>
      </c>
      <c r="P183" s="31">
        <f t="shared" si="88"/>
        <v>89000</v>
      </c>
      <c r="Q183" s="30">
        <f t="shared" si="76"/>
        <v>12732.725438199595</v>
      </c>
      <c r="R183" s="31">
        <f t="shared" si="77"/>
        <v>35226.253748284682</v>
      </c>
      <c r="S183" s="47">
        <f t="shared" si="78"/>
        <v>636490.42047949741</v>
      </c>
      <c r="T183" s="30">
        <f t="shared" si="79"/>
        <v>439801.07267892017</v>
      </c>
      <c r="U183" s="31">
        <f t="shared" si="74"/>
        <v>45000</v>
      </c>
      <c r="V183" s="30">
        <f t="shared" si="80"/>
        <v>196047.77712810217</v>
      </c>
      <c r="W183" s="38">
        <f t="shared" si="83"/>
        <v>1504788.3859742843</v>
      </c>
      <c r="X183" s="69">
        <f t="shared" si="92"/>
        <v>1745836.1631023865</v>
      </c>
      <c r="Y183">
        <f t="shared" si="81"/>
        <v>167</v>
      </c>
      <c r="Z183" s="30">
        <f t="shared" si="84"/>
        <v>190859.3991739637</v>
      </c>
      <c r="AA183" s="2">
        <f t="shared" ca="1" si="69"/>
        <v>24</v>
      </c>
    </row>
    <row r="184" spans="13:27" x14ac:dyDescent="0.2">
      <c r="M184" s="5">
        <f t="shared" si="70"/>
        <v>57.7</v>
      </c>
      <c r="N184" s="43">
        <f t="shared" si="87"/>
        <v>46935</v>
      </c>
      <c r="O184" s="31">
        <f t="shared" si="75"/>
        <v>191563.73726614448</v>
      </c>
      <c r="P184" s="31">
        <f t="shared" si="88"/>
        <v>89000</v>
      </c>
      <c r="Q184" s="30">
        <f t="shared" si="76"/>
        <v>12822.915576720176</v>
      </c>
      <c r="R184" s="31">
        <f t="shared" si="77"/>
        <v>35475.773045668364</v>
      </c>
      <c r="S184" s="47">
        <f t="shared" si="78"/>
        <v>640998.89429122722</v>
      </c>
      <c r="T184" s="30">
        <f t="shared" si="79"/>
        <v>442916.33027706255</v>
      </c>
      <c r="U184" s="31">
        <f t="shared" si="74"/>
        <v>45000</v>
      </c>
      <c r="V184" s="30">
        <f t="shared" si="80"/>
        <v>197794.78221609289</v>
      </c>
      <c r="W184" s="38">
        <f t="shared" si="83"/>
        <v>1516572.3037082686</v>
      </c>
      <c r="X184" s="69">
        <f t="shared" si="92"/>
        <v>1759367.0859243614</v>
      </c>
      <c r="Y184">
        <f t="shared" si="81"/>
        <v>167</v>
      </c>
      <c r="Z184" s="30">
        <f t="shared" si="84"/>
        <v>192794.65325144594</v>
      </c>
      <c r="AA184" s="2">
        <f t="shared" ca="1" si="69"/>
        <v>24</v>
      </c>
    </row>
    <row r="185" spans="13:27" x14ac:dyDescent="0.2">
      <c r="M185" s="5">
        <f t="shared" si="70"/>
        <v>57.8</v>
      </c>
      <c r="N185" s="43">
        <f t="shared" si="87"/>
        <v>46966</v>
      </c>
      <c r="O185" s="31">
        <f t="shared" si="75"/>
        <v>193462.31373844633</v>
      </c>
      <c r="P185" s="31">
        <f t="shared" si="88"/>
        <v>89000</v>
      </c>
      <c r="Q185" s="30">
        <f t="shared" si="76"/>
        <v>12913.744562055277</v>
      </c>
      <c r="R185" s="31">
        <f t="shared" si="77"/>
        <v>35727.059771408516</v>
      </c>
      <c r="S185" s="47">
        <f t="shared" si="78"/>
        <v>645539.30312579009</v>
      </c>
      <c r="T185" s="30">
        <f t="shared" si="79"/>
        <v>446053.65428319172</v>
      </c>
      <c r="U185" s="31">
        <f t="shared" si="74"/>
        <v>45000</v>
      </c>
      <c r="V185" s="30">
        <f t="shared" si="80"/>
        <v>199554.16192345688</v>
      </c>
      <c r="W185" s="38">
        <f t="shared" si="83"/>
        <v>1528439.6908595355</v>
      </c>
      <c r="X185" s="69">
        <f t="shared" si="92"/>
        <v>1772993.8527829924</v>
      </c>
      <c r="Y185">
        <f t="shared" si="81"/>
        <v>167</v>
      </c>
      <c r="Z185" s="30">
        <f t="shared" si="84"/>
        <v>194743.61537864368</v>
      </c>
      <c r="AA185" s="2">
        <f t="shared" ca="1" si="69"/>
        <v>24</v>
      </c>
    </row>
    <row r="186" spans="13:27" x14ac:dyDescent="0.2">
      <c r="M186" s="5">
        <f t="shared" si="70"/>
        <v>57.9</v>
      </c>
      <c r="N186" s="43">
        <f t="shared" si="87"/>
        <v>46997</v>
      </c>
      <c r="O186" s="31">
        <f t="shared" si="75"/>
        <v>195374.33846076031</v>
      </c>
      <c r="P186" s="31">
        <f t="shared" si="88"/>
        <v>89000</v>
      </c>
      <c r="Q186" s="30">
        <f t="shared" si="76"/>
        <v>13005.216919369836</v>
      </c>
      <c r="R186" s="31">
        <f t="shared" si="77"/>
        <v>35980.126444789326</v>
      </c>
      <c r="S186" s="47">
        <f t="shared" si="78"/>
        <v>650111.87318959774</v>
      </c>
      <c r="T186" s="30">
        <f t="shared" si="79"/>
        <v>449213.20100103098</v>
      </c>
      <c r="U186" s="31">
        <f t="shared" si="74"/>
        <v>45000</v>
      </c>
      <c r="V186" s="30">
        <f t="shared" si="80"/>
        <v>201326.00390374803</v>
      </c>
      <c r="W186" s="38">
        <f t="shared" si="83"/>
        <v>1540391.1386697905</v>
      </c>
      <c r="X186" s="69">
        <f t="shared" si="92"/>
        <v>1786717.1425735385</v>
      </c>
      <c r="Y186">
        <f t="shared" si="81"/>
        <v>167</v>
      </c>
      <c r="Z186" s="30">
        <f t="shared" si="84"/>
        <v>196706.38265424242</v>
      </c>
      <c r="AA186" s="2">
        <f t="shared" ca="1" si="69"/>
        <v>24</v>
      </c>
    </row>
    <row r="187" spans="13:27" x14ac:dyDescent="0.2">
      <c r="M187" s="5">
        <f t="shared" si="70"/>
        <v>58</v>
      </c>
      <c r="N187" s="43">
        <f t="shared" si="87"/>
        <v>47027</v>
      </c>
      <c r="O187" s="31">
        <f t="shared" si="75"/>
        <v>197299.90669152403</v>
      </c>
      <c r="P187" s="31">
        <f t="shared" si="88"/>
        <v>89000</v>
      </c>
      <c r="Q187" s="30">
        <f t="shared" si="76"/>
        <v>13097.337205882039</v>
      </c>
      <c r="R187" s="31">
        <f t="shared" si="77"/>
        <v>36234.985673773248</v>
      </c>
      <c r="S187" s="47">
        <f t="shared" si="78"/>
        <v>654716.83229135734</v>
      </c>
      <c r="T187" s="30">
        <f t="shared" si="79"/>
        <v>452395.12784145493</v>
      </c>
      <c r="U187" s="31">
        <f t="shared" si="74"/>
        <v>45000</v>
      </c>
      <c r="V187" s="30">
        <f t="shared" si="80"/>
        <v>203110.3964313996</v>
      </c>
      <c r="W187" s="38">
        <f t="shared" si="83"/>
        <v>1552427.2425687015</v>
      </c>
      <c r="X187" s="69">
        <f t="shared" si="92"/>
        <v>1800537.639000101</v>
      </c>
      <c r="Y187">
        <f t="shared" si="81"/>
        <v>167</v>
      </c>
      <c r="Z187" s="30">
        <f t="shared" si="84"/>
        <v>198683.05286470999</v>
      </c>
      <c r="AA187" s="2">
        <f t="shared" ca="1" si="69"/>
        <v>24</v>
      </c>
    </row>
    <row r="188" spans="13:27" x14ac:dyDescent="0.2">
      <c r="M188" s="5">
        <f t="shared" si="70"/>
        <v>58</v>
      </c>
      <c r="N188" s="43">
        <f t="shared" si="87"/>
        <v>47058</v>
      </c>
      <c r="O188" s="31">
        <f t="shared" si="75"/>
        <v>199239.1143639223</v>
      </c>
      <c r="P188" s="31">
        <f t="shared" si="88"/>
        <v>89000</v>
      </c>
      <c r="Q188" s="30">
        <f t="shared" si="76"/>
        <v>13190.11001109037</v>
      </c>
      <c r="R188" s="31">
        <f t="shared" si="77"/>
        <v>36491.65015562914</v>
      </c>
      <c r="S188" s="47">
        <f t="shared" si="78"/>
        <v>659354.40985342115</v>
      </c>
      <c r="T188" s="30">
        <f t="shared" si="79"/>
        <v>455599.5933303319</v>
      </c>
      <c r="U188" s="31">
        <f t="shared" si="74"/>
        <v>45000</v>
      </c>
      <c r="V188" s="30">
        <f t="shared" si="80"/>
        <v>204907.42840612202</v>
      </c>
      <c r="W188" s="38">
        <f t="shared" si="83"/>
        <v>1564548.6022035631</v>
      </c>
      <c r="X188" s="69">
        <f t="shared" si="92"/>
        <v>1814456.030609685</v>
      </c>
      <c r="Y188">
        <f t="shared" si="81"/>
        <v>167</v>
      </c>
      <c r="Z188" s="30">
        <f t="shared" si="84"/>
        <v>200673.72448916835</v>
      </c>
      <c r="AA188" s="2">
        <f t="shared" ca="1" si="69"/>
        <v>24</v>
      </c>
    </row>
    <row r="189" spans="13:27" x14ac:dyDescent="0.2">
      <c r="M189" s="5">
        <f t="shared" si="70"/>
        <v>58.1</v>
      </c>
      <c r="N189" s="43">
        <f t="shared" si="87"/>
        <v>47088</v>
      </c>
      <c r="O189" s="31">
        <f t="shared" si="75"/>
        <v>201192.05809066675</v>
      </c>
      <c r="P189" s="31">
        <f t="shared" si="88"/>
        <v>89000</v>
      </c>
      <c r="Q189" s="30">
        <f t="shared" si="76"/>
        <v>13283.53995700226</v>
      </c>
      <c r="R189" s="31">
        <f t="shared" si="77"/>
        <v>36750.132677564849</v>
      </c>
      <c r="S189" s="47">
        <f t="shared" si="78"/>
        <v>664024.83692321624</v>
      </c>
      <c r="T189" s="30">
        <f t="shared" si="79"/>
        <v>458826.75711642177</v>
      </c>
      <c r="U189" s="31">
        <f t="shared" si="74"/>
        <v>45000</v>
      </c>
      <c r="V189" s="30">
        <f t="shared" si="80"/>
        <v>206717.18935733207</v>
      </c>
      <c r="W189" s="38">
        <f t="shared" si="83"/>
        <v>1576755.8214691719</v>
      </c>
      <c r="X189" s="69">
        <f t="shared" si="92"/>
        <v>1828473.0108265039</v>
      </c>
      <c r="Y189">
        <f t="shared" si="81"/>
        <v>167</v>
      </c>
      <c r="Z189" s="30">
        <f t="shared" si="84"/>
        <v>202678.49670429996</v>
      </c>
      <c r="AA189" s="2">
        <f t="shared" ca="1" si="69"/>
        <v>24</v>
      </c>
    </row>
    <row r="190" spans="13:27" x14ac:dyDescent="0.2">
      <c r="M190" s="5">
        <f t="shared" si="70"/>
        <v>58.2</v>
      </c>
      <c r="N190" s="43">
        <f t="shared" si="87"/>
        <v>47119</v>
      </c>
      <c r="O190" s="31">
        <f t="shared" si="75"/>
        <v>203158.83516880896</v>
      </c>
      <c r="P190" s="31">
        <f t="shared" ref="P190" si="96">IF(M190&gt;50,MAX(P189,P178+$J$13),MAX(P189,P178+$I$13))</f>
        <v>95500</v>
      </c>
      <c r="Q190" s="30">
        <f t="shared" si="76"/>
        <v>13377.631698364359</v>
      </c>
      <c r="R190" s="31">
        <f t="shared" si="77"/>
        <v>37010.446117364263</v>
      </c>
      <c r="S190" s="47">
        <f t="shared" si="78"/>
        <v>668728.34618475568</v>
      </c>
      <c r="T190" s="30">
        <f t="shared" si="79"/>
        <v>462076.77997932973</v>
      </c>
      <c r="U190" s="31">
        <f t="shared" si="74"/>
        <v>45000</v>
      </c>
      <c r="V190" s="30">
        <f t="shared" si="80"/>
        <v>208539.76944861319</v>
      </c>
      <c r="W190" s="38">
        <f t="shared" si="83"/>
        <v>1589049.5085379118</v>
      </c>
      <c r="X190" s="69">
        <f t="shared" si="92"/>
        <v>1842589.2779865251</v>
      </c>
      <c r="Y190">
        <f t="shared" si="81"/>
        <v>167</v>
      </c>
      <c r="Z190" s="30">
        <f t="shared" si="84"/>
        <v>204697.46938928877</v>
      </c>
      <c r="AA190" s="2">
        <f t="shared" ca="1" si="69"/>
        <v>24</v>
      </c>
    </row>
    <row r="191" spans="13:27" x14ac:dyDescent="0.2">
      <c r="M191" s="5">
        <f t="shared" si="70"/>
        <v>58.3</v>
      </c>
      <c r="N191" s="43">
        <f t="shared" ref="N191:N202" si="97">DATE(YEAR(N190),MONTH(N190)+1,1)</f>
        <v>47150</v>
      </c>
      <c r="O191" s="31">
        <f t="shared" si="75"/>
        <v>205139.54358458801</v>
      </c>
      <c r="P191" s="31">
        <f t="shared" si="88"/>
        <v>95500</v>
      </c>
      <c r="Q191" s="30">
        <f t="shared" si="76"/>
        <v>13472.389922894439</v>
      </c>
      <c r="R191" s="31">
        <f t="shared" si="77"/>
        <v>37272.60344402893</v>
      </c>
      <c r="S191" s="47">
        <f t="shared" si="78"/>
        <v>673465.17197023099</v>
      </c>
      <c r="T191" s="30">
        <f t="shared" si="79"/>
        <v>465349.82383751665</v>
      </c>
      <c r="U191" s="31">
        <f t="shared" ref="U191" si="98">U190+$K$18</f>
        <v>46500</v>
      </c>
      <c r="V191" s="30">
        <f t="shared" si="80"/>
        <v>210375.25948220753</v>
      </c>
      <c r="W191" s="38">
        <f t="shared" si="83"/>
        <v>1601430.2758900551</v>
      </c>
      <c r="X191" s="69">
        <f t="shared" si="92"/>
        <v>1858305.5353722628</v>
      </c>
      <c r="Y191">
        <f t="shared" si="81"/>
        <v>167</v>
      </c>
      <c r="Z191" s="30">
        <f t="shared" si="84"/>
        <v>206730.74313079624</v>
      </c>
      <c r="AA191" s="2">
        <f t="shared" ca="1" si="69"/>
        <v>24</v>
      </c>
    </row>
    <row r="192" spans="13:27" x14ac:dyDescent="0.2">
      <c r="M192" s="5">
        <f t="shared" si="70"/>
        <v>58.4</v>
      </c>
      <c r="N192" s="43">
        <f t="shared" si="97"/>
        <v>47178</v>
      </c>
      <c r="O192" s="31">
        <f t="shared" si="75"/>
        <v>207134.28201831217</v>
      </c>
      <c r="P192" s="31">
        <f t="shared" si="88"/>
        <v>95500</v>
      </c>
      <c r="Q192" s="30">
        <f t="shared" si="76"/>
        <v>13567.819351514941</v>
      </c>
      <c r="R192" s="31">
        <f t="shared" si="77"/>
        <v>37536.617718424131</v>
      </c>
      <c r="S192" s="47">
        <f t="shared" si="78"/>
        <v>678235.55027168675</v>
      </c>
      <c r="T192" s="30">
        <f t="shared" si="79"/>
        <v>473759.18835096544</v>
      </c>
      <c r="U192" s="31">
        <f t="shared" ref="U192" si="99">U191</f>
        <v>46500</v>
      </c>
      <c r="V192" s="30">
        <f t="shared" si="80"/>
        <v>212223.75090353985</v>
      </c>
      <c r="W192" s="38">
        <f t="shared" si="83"/>
        <v>1619011.876938876</v>
      </c>
      <c r="X192" s="69">
        <f t="shared" si="92"/>
        <v>1877735.6278424158</v>
      </c>
      <c r="Y192">
        <f t="shared" si="81"/>
        <v>167</v>
      </c>
      <c r="Z192" s="30">
        <f t="shared" si="84"/>
        <v>208778.41922797271</v>
      </c>
      <c r="AA192" s="2">
        <f t="shared" ca="1" si="69"/>
        <v>24</v>
      </c>
    </row>
    <row r="193" spans="2:27" x14ac:dyDescent="0.2">
      <c r="M193" s="5">
        <f t="shared" si="70"/>
        <v>58.5</v>
      </c>
      <c r="N193" s="43">
        <f t="shared" si="97"/>
        <v>47209</v>
      </c>
      <c r="O193" s="31">
        <f t="shared" si="75"/>
        <v>209143.14984927521</v>
      </c>
      <c r="P193" s="31">
        <f t="shared" si="88"/>
        <v>95500</v>
      </c>
      <c r="Q193" s="30">
        <f t="shared" si="76"/>
        <v>13663.924738588172</v>
      </c>
      <c r="R193" s="31">
        <f t="shared" si="77"/>
        <v>37802.502093929637</v>
      </c>
      <c r="S193" s="47">
        <f t="shared" si="78"/>
        <v>683039.7187527779</v>
      </c>
      <c r="T193" s="30">
        <f t="shared" si="79"/>
        <v>477114.98260178475</v>
      </c>
      <c r="U193" s="31">
        <f t="shared" si="74"/>
        <v>46500</v>
      </c>
      <c r="V193" s="30">
        <f t="shared" si="80"/>
        <v>214085.33580577327</v>
      </c>
      <c r="W193" s="38">
        <f t="shared" si="83"/>
        <v>1631604.8777338597</v>
      </c>
      <c r="X193" s="69">
        <f t="shared" si="92"/>
        <v>1892190.213539633</v>
      </c>
      <c r="Y193">
        <f t="shared" si="81"/>
        <v>167</v>
      </c>
      <c r="Z193" s="30">
        <f t="shared" si="84"/>
        <v>210840.59969750419</v>
      </c>
      <c r="AA193" s="2">
        <f t="shared" ca="1" si="69"/>
        <v>24</v>
      </c>
    </row>
    <row r="194" spans="2:27" x14ac:dyDescent="0.2">
      <c r="M194" s="5">
        <f t="shared" si="70"/>
        <v>58.5</v>
      </c>
      <c r="N194" s="43">
        <f t="shared" si="97"/>
        <v>47239</v>
      </c>
      <c r="O194" s="31">
        <f t="shared" si="75"/>
        <v>211166.24716070757</v>
      </c>
      <c r="P194" s="31">
        <f t="shared" si="88"/>
        <v>95500</v>
      </c>
      <c r="Q194" s="30">
        <f t="shared" si="76"/>
        <v>13760.710872153171</v>
      </c>
      <c r="R194" s="31">
        <f t="shared" si="77"/>
        <v>38070.269817094973</v>
      </c>
      <c r="S194" s="47">
        <f t="shared" si="78"/>
        <v>687877.91676061007</v>
      </c>
      <c r="T194" s="30">
        <f t="shared" si="79"/>
        <v>480494.5470618807</v>
      </c>
      <c r="U194" s="31">
        <f t="shared" si="74"/>
        <v>46500</v>
      </c>
      <c r="V194" s="30">
        <f t="shared" si="80"/>
        <v>215960.10693439751</v>
      </c>
      <c r="W194" s="38">
        <f t="shared" si="83"/>
        <v>1644287.0789511416</v>
      </c>
      <c r="X194" s="69">
        <f t="shared" si="92"/>
        <v>1906747.185885539</v>
      </c>
      <c r="Y194">
        <f t="shared" si="81"/>
        <v>167</v>
      </c>
      <c r="Z194" s="30">
        <f t="shared" si="84"/>
        <v>212917.38727869486</v>
      </c>
      <c r="AA194" s="2">
        <f t="shared" ca="1" si="69"/>
        <v>24</v>
      </c>
    </row>
    <row r="195" spans="2:27" x14ac:dyDescent="0.2">
      <c r="M195" s="5">
        <f t="shared" si="70"/>
        <v>58.6</v>
      </c>
      <c r="N195" s="43">
        <f t="shared" si="97"/>
        <v>47270</v>
      </c>
      <c r="O195" s="31">
        <f t="shared" si="75"/>
        <v>213203.67474476257</v>
      </c>
      <c r="P195" s="31">
        <f t="shared" si="88"/>
        <v>95500</v>
      </c>
      <c r="Q195" s="30">
        <f t="shared" si="76"/>
        <v>13858.182574164257</v>
      </c>
      <c r="R195" s="31">
        <f t="shared" si="77"/>
        <v>38339.934228299397</v>
      </c>
      <c r="S195" s="47">
        <f t="shared" si="78"/>
        <v>692750.3853376644</v>
      </c>
      <c r="T195" s="30">
        <f t="shared" si="79"/>
        <v>483898.050103569</v>
      </c>
      <c r="U195" s="31">
        <f t="shared" si="74"/>
        <v>46500</v>
      </c>
      <c r="V195" s="30">
        <f t="shared" si="80"/>
        <v>217848.15769184951</v>
      </c>
      <c r="W195" s="38">
        <f t="shared" si="83"/>
        <v>1657059.1124270454</v>
      </c>
      <c r="X195" s="69">
        <f t="shared" si="92"/>
        <v>1921407.270118895</v>
      </c>
      <c r="Y195">
        <f t="shared" si="81"/>
        <v>167</v>
      </c>
      <c r="Z195" s="30">
        <f t="shared" si="84"/>
        <v>215008.88543858562</v>
      </c>
      <c r="AA195" s="2">
        <f t="shared" ca="1" si="69"/>
        <v>24</v>
      </c>
    </row>
    <row r="196" spans="2:27" x14ac:dyDescent="0.2">
      <c r="M196" s="5">
        <f t="shared" si="70"/>
        <v>58.7</v>
      </c>
      <c r="N196" s="43">
        <f t="shared" si="97"/>
        <v>47300</v>
      </c>
      <c r="O196" s="31">
        <f t="shared" si="75"/>
        <v>215255.53410753797</v>
      </c>
      <c r="P196" s="31">
        <f t="shared" si="88"/>
        <v>95500</v>
      </c>
      <c r="Q196" s="30">
        <f t="shared" si="76"/>
        <v>13956.344700731253</v>
      </c>
      <c r="R196" s="31">
        <f t="shared" si="77"/>
        <v>38611.508762416517</v>
      </c>
      <c r="S196" s="47">
        <f t="shared" si="78"/>
        <v>697657.36723380617</v>
      </c>
      <c r="T196" s="30">
        <f t="shared" si="79"/>
        <v>487325.66129180259</v>
      </c>
      <c r="U196" s="31">
        <f t="shared" si="74"/>
        <v>46500</v>
      </c>
      <c r="V196" s="30">
        <f t="shared" si="80"/>
        <v>219749.58214216679</v>
      </c>
      <c r="W196" s="38">
        <f t="shared" si="83"/>
        <v>1669921.6144734034</v>
      </c>
      <c r="X196" s="69">
        <f t="shared" si="92"/>
        <v>1936171.1966155702</v>
      </c>
      <c r="Y196">
        <f t="shared" si="81"/>
        <v>167</v>
      </c>
      <c r="Z196" s="30">
        <f t="shared" si="84"/>
        <v>217115.19837710896</v>
      </c>
      <c r="AA196" s="2">
        <f t="shared" ca="1" si="69"/>
        <v>24</v>
      </c>
    </row>
    <row r="197" spans="2:27" x14ac:dyDescent="0.2">
      <c r="M197" s="5">
        <f t="shared" si="70"/>
        <v>58.8</v>
      </c>
      <c r="N197" s="43">
        <f t="shared" si="97"/>
        <v>47331</v>
      </c>
      <c r="O197" s="31">
        <f t="shared" si="75"/>
        <v>217321.92747413303</v>
      </c>
      <c r="P197" s="31">
        <f t="shared" si="88"/>
        <v>95500</v>
      </c>
      <c r="Q197" s="30">
        <f t="shared" si="76"/>
        <v>14055.202142361433</v>
      </c>
      <c r="R197" s="31">
        <f t="shared" si="77"/>
        <v>38885.006949483635</v>
      </c>
      <c r="S197" s="47">
        <f t="shared" si="78"/>
        <v>702599.10691837897</v>
      </c>
      <c r="T197" s="30">
        <f t="shared" si="79"/>
        <v>490777.5513926195</v>
      </c>
      <c r="U197" s="31">
        <f t="shared" si="74"/>
        <v>46500</v>
      </c>
      <c r="V197" s="30">
        <f t="shared" si="80"/>
        <v>221664.47501567382</v>
      </c>
      <c r="W197" s="38">
        <f t="shared" si="83"/>
        <v>1682875.2259092568</v>
      </c>
      <c r="X197" s="69">
        <f t="shared" si="92"/>
        <v>1951039.7009249306</v>
      </c>
      <c r="Y197">
        <f t="shared" si="81"/>
        <v>167</v>
      </c>
      <c r="Z197" s="30">
        <f t="shared" si="84"/>
        <v>219236.43103228015</v>
      </c>
      <c r="AA197" s="2">
        <f t="shared" ca="1" si="69"/>
        <v>24</v>
      </c>
    </row>
    <row r="198" spans="2:27" x14ac:dyDescent="0.2">
      <c r="M198" s="5">
        <f t="shared" si="70"/>
        <v>58.9</v>
      </c>
      <c r="N198" s="43">
        <f t="shared" si="97"/>
        <v>47362</v>
      </c>
      <c r="O198" s="31">
        <f t="shared" si="75"/>
        <v>219402.95779374146</v>
      </c>
      <c r="P198" s="31">
        <f t="shared" si="88"/>
        <v>95500</v>
      </c>
      <c r="Q198" s="30">
        <f t="shared" si="76"/>
        <v>14154.75982420316</v>
      </c>
      <c r="R198" s="31">
        <f t="shared" si="77"/>
        <v>39160.442415375808</v>
      </c>
      <c r="S198" s="47">
        <f t="shared" si="78"/>
        <v>707575.85059238411</v>
      </c>
      <c r="T198" s="30">
        <f t="shared" si="79"/>
        <v>494253.89238165057</v>
      </c>
      <c r="U198" s="31">
        <f t="shared" si="74"/>
        <v>46500</v>
      </c>
      <c r="V198" s="30">
        <f t="shared" si="80"/>
        <v>223592.93171370152</v>
      </c>
      <c r="W198" s="38">
        <f t="shared" si="83"/>
        <v>1695920.5920927804</v>
      </c>
      <c r="X198" s="69">
        <f t="shared" si="92"/>
        <v>1966013.5238064821</v>
      </c>
      <c r="Y198">
        <f t="shared" si="81"/>
        <v>167</v>
      </c>
      <c r="Z198" s="30">
        <f t="shared" si="84"/>
        <v>221372.68908542546</v>
      </c>
      <c r="AA198" s="2">
        <f t="shared" ca="1" si="69"/>
        <v>24</v>
      </c>
    </row>
    <row r="199" spans="2:27" x14ac:dyDescent="0.2">
      <c r="M199" s="5">
        <f t="shared" si="70"/>
        <v>59</v>
      </c>
      <c r="N199" s="43">
        <f t="shared" si="97"/>
        <v>47392</v>
      </c>
      <c r="O199" s="31">
        <f t="shared" si="75"/>
        <v>221498.72874478044</v>
      </c>
      <c r="P199" s="31">
        <f t="shared" si="88"/>
        <v>95500</v>
      </c>
      <c r="Q199" s="30">
        <f t="shared" si="76"/>
        <v>14255.022706291265</v>
      </c>
      <c r="R199" s="31">
        <f t="shared" si="77"/>
        <v>39437.828882484719</v>
      </c>
      <c r="S199" s="47">
        <f t="shared" si="78"/>
        <v>712587.84620074683</v>
      </c>
      <c r="T199" s="30">
        <f t="shared" si="79"/>
        <v>497754.85745268728</v>
      </c>
      <c r="U199" s="31">
        <f t="shared" si="74"/>
        <v>46500</v>
      </c>
      <c r="V199" s="30">
        <f t="shared" si="80"/>
        <v>225535.04831334026</v>
      </c>
      <c r="W199" s="38">
        <f t="shared" si="83"/>
        <v>1709058.3629534377</v>
      </c>
      <c r="X199" s="69">
        <f t="shared" si="92"/>
        <v>1981093.4112667779</v>
      </c>
      <c r="Y199">
        <f t="shared" si="81"/>
        <v>167</v>
      </c>
      <c r="Z199" s="30">
        <f t="shared" si="84"/>
        <v>223524.07896644724</v>
      </c>
      <c r="AA199" s="2">
        <f t="shared" ca="1" si="69"/>
        <v>24</v>
      </c>
    </row>
    <row r="200" spans="2:27" x14ac:dyDescent="0.2">
      <c r="M200" s="5">
        <f t="shared" si="70"/>
        <v>59</v>
      </c>
      <c r="N200" s="43">
        <f t="shared" si="97"/>
        <v>47423</v>
      </c>
      <c r="O200" s="31">
        <f t="shared" si="75"/>
        <v>223609.34474005597</v>
      </c>
      <c r="P200" s="31">
        <f t="shared" si="88"/>
        <v>95500</v>
      </c>
      <c r="Q200" s="30">
        <f t="shared" si="76"/>
        <v>14355.995783794162</v>
      </c>
      <c r="R200" s="31">
        <f t="shared" si="77"/>
        <v>39717.180170402316</v>
      </c>
      <c r="S200" s="47">
        <f t="shared" si="78"/>
        <v>717635.3434446688</v>
      </c>
      <c r="T200" s="30">
        <f t="shared" si="79"/>
        <v>501280.62102631049</v>
      </c>
      <c r="U200" s="31">
        <f t="shared" si="74"/>
        <v>46500</v>
      </c>
      <c r="V200" s="30">
        <f t="shared" si="80"/>
        <v>227490.92157222642</v>
      </c>
      <c r="W200" s="38">
        <f t="shared" si="83"/>
        <v>1722289.193024358</v>
      </c>
      <c r="X200" s="69">
        <f t="shared" si="92"/>
        <v>1996280.1145965843</v>
      </c>
      <c r="Y200">
        <f t="shared" si="81"/>
        <v>167</v>
      </c>
      <c r="Z200" s="30">
        <f t="shared" si="84"/>
        <v>225690.70785912624</v>
      </c>
      <c r="AA200" s="2">
        <f t="shared" ca="1" si="69"/>
        <v>24</v>
      </c>
    </row>
    <row r="201" spans="2:27" x14ac:dyDescent="0.2">
      <c r="M201" s="5">
        <f t="shared" si="70"/>
        <v>59.1</v>
      </c>
      <c r="N201" s="43">
        <f t="shared" si="97"/>
        <v>47453</v>
      </c>
      <c r="O201" s="31">
        <f t="shared" si="75"/>
        <v>225734.9109319647</v>
      </c>
      <c r="P201" s="31">
        <f t="shared" si="88"/>
        <v>95500</v>
      </c>
      <c r="Q201" s="30">
        <f t="shared" si="76"/>
        <v>14457.684087262704</v>
      </c>
      <c r="R201" s="31">
        <f t="shared" si="77"/>
        <v>39998.510196609335</v>
      </c>
      <c r="S201" s="47">
        <f t="shared" si="78"/>
        <v>722718.59379406855</v>
      </c>
      <c r="T201" s="30">
        <f t="shared" si="79"/>
        <v>504831.35875858017</v>
      </c>
      <c r="U201" s="31">
        <f t="shared" si="74"/>
        <v>46500</v>
      </c>
      <c r="V201" s="30">
        <f t="shared" si="80"/>
        <v>229460.64893336303</v>
      </c>
      <c r="W201" s="38">
        <f t="shared" si="83"/>
        <v>1735613.7414749472</v>
      </c>
      <c r="X201" s="69">
        <f t="shared" si="92"/>
        <v>2011574.3904083103</v>
      </c>
      <c r="Y201">
        <f t="shared" si="81"/>
        <v>167</v>
      </c>
      <c r="Z201" s="30">
        <f t="shared" si="84"/>
        <v>227872.68370646171</v>
      </c>
      <c r="AA201" s="2">
        <f t="shared" ca="1" si="69"/>
        <v>24</v>
      </c>
    </row>
    <row r="202" spans="2:27" x14ac:dyDescent="0.2">
      <c r="M202" s="5">
        <f t="shared" si="70"/>
        <v>59.2</v>
      </c>
      <c r="N202" s="43">
        <f t="shared" si="97"/>
        <v>47484</v>
      </c>
      <c r="O202" s="31">
        <f t="shared" si="75"/>
        <v>227875.53321773277</v>
      </c>
      <c r="P202" s="31">
        <f t="shared" ref="P202" si="100">IF(M202&gt;50,MAX(P201,P190+$J$13),MAX(P201,P190+$I$13))</f>
        <v>102000</v>
      </c>
      <c r="Q202" s="30">
        <f t="shared" si="76"/>
        <v>14560.092682880815</v>
      </c>
      <c r="R202" s="31">
        <f t="shared" si="77"/>
        <v>40281.832977168648</v>
      </c>
      <c r="S202" s="47">
        <f t="shared" si="78"/>
        <v>727837.85050010984</v>
      </c>
      <c r="T202" s="30">
        <f t="shared" si="79"/>
        <v>508407.24754978676</v>
      </c>
      <c r="U202" s="31">
        <f t="shared" si="74"/>
        <v>46500</v>
      </c>
      <c r="V202" s="30">
        <f t="shared" si="80"/>
        <v>231444.32852997436</v>
      </c>
      <c r="W202" s="38">
        <f t="shared" si="83"/>
        <v>1749032.672143728</v>
      </c>
      <c r="X202" s="69">
        <f t="shared" si="92"/>
        <v>2026977.0006737025</v>
      </c>
      <c r="Y202">
        <f t="shared" si="81"/>
        <v>167</v>
      </c>
      <c r="Z202" s="30">
        <f t="shared" si="84"/>
        <v>230070.11521604916</v>
      </c>
      <c r="AA202" s="2">
        <f t="shared" ref="AA202:AA265" ca="1" si="101">IF(AND(TODAY()&lt;N203,OR(TODAY()&gt;N202,TODAY()=N202)),ROW(Z202),AA201)</f>
        <v>24</v>
      </c>
    </row>
    <row r="203" spans="2:27" x14ac:dyDescent="0.2">
      <c r="B203" s="4" t="s">
        <v>130</v>
      </c>
      <c r="M203" s="5">
        <f t="shared" si="70"/>
        <v>59.3</v>
      </c>
      <c r="N203" s="43">
        <f t="shared" ref="N203:N266" si="102">DATE(YEAR(N202),MONTH(N202)+1,1)</f>
        <v>47515</v>
      </c>
      <c r="O203" s="31">
        <f t="shared" si="75"/>
        <v>230031.31824469171</v>
      </c>
      <c r="P203" s="31">
        <f t="shared" si="88"/>
        <v>102000</v>
      </c>
      <c r="Q203" s="30">
        <f t="shared" si="76"/>
        <v>14663.226672717887</v>
      </c>
      <c r="R203" s="31">
        <f t="shared" si="77"/>
        <v>40567.16262742359</v>
      </c>
      <c r="S203" s="47">
        <f t="shared" si="78"/>
        <v>732993.36860781896</v>
      </c>
      <c r="T203" s="30">
        <f t="shared" si="79"/>
        <v>512008.46555326442</v>
      </c>
      <c r="U203" s="31">
        <f t="shared" ref="U203" si="103">U202+$K$18</f>
        <v>48000</v>
      </c>
      <c r="V203" s="30">
        <f t="shared" si="80"/>
        <v>233442.05919039503</v>
      </c>
      <c r="W203" s="38">
        <f t="shared" si="83"/>
        <v>1762546.6535714129</v>
      </c>
      <c r="X203" s="69">
        <f t="shared" si="92"/>
        <v>2043988.712761808</v>
      </c>
      <c r="Y203">
        <f t="shared" si="81"/>
        <v>167</v>
      </c>
      <c r="Z203" s="30">
        <f t="shared" si="84"/>
        <v>232283.11186549618</v>
      </c>
      <c r="AA203" s="2">
        <f t="shared" ca="1" si="101"/>
        <v>24</v>
      </c>
    </row>
    <row r="204" spans="2:27" x14ac:dyDescent="0.2">
      <c r="B204" s="4" t="s">
        <v>131</v>
      </c>
      <c r="D204" s="4" t="s">
        <v>133</v>
      </c>
      <c r="M204" s="5">
        <f t="shared" ref="M204:M267" si="104">(INT((((YEAR(N204)-YEAR(DATE(1970,10,16)))*12+MONTH(N204)-MONTH(DATE(1970,10,16)))/12)*10))/10</f>
        <v>59.4</v>
      </c>
      <c r="N204" s="43">
        <f t="shared" si="102"/>
        <v>47543</v>
      </c>
      <c r="O204" s="31">
        <f t="shared" si="75"/>
        <v>232202.3734155916</v>
      </c>
      <c r="P204" s="31">
        <f t="shared" si="88"/>
        <v>102000</v>
      </c>
      <c r="Q204" s="30">
        <f t="shared" si="76"/>
        <v>14767.091194982972</v>
      </c>
      <c r="R204" s="31">
        <f t="shared" si="77"/>
        <v>40854.513362701175</v>
      </c>
      <c r="S204" s="47">
        <f t="shared" si="78"/>
        <v>738185.40496879106</v>
      </c>
      <c r="T204" s="30">
        <f t="shared" si="79"/>
        <v>520825.02582778537</v>
      </c>
      <c r="U204" s="31">
        <f t="shared" ref="U204:U214" si="105">U203</f>
        <v>48000</v>
      </c>
      <c r="V204" s="30">
        <f t="shared" si="80"/>
        <v>235453.94044299365</v>
      </c>
      <c r="W204" s="38">
        <f t="shared" si="83"/>
        <v>1781346.1926777288</v>
      </c>
      <c r="X204" s="69">
        <f t="shared" si="92"/>
        <v>2064800.1331207226</v>
      </c>
      <c r="Y204">
        <f t="shared" si="81"/>
        <v>167</v>
      </c>
      <c r="Z204" s="30">
        <f t="shared" si="84"/>
        <v>234511.78390787679</v>
      </c>
      <c r="AA204" s="2">
        <f t="shared" ca="1" si="101"/>
        <v>24</v>
      </c>
    </row>
    <row r="205" spans="2:27" x14ac:dyDescent="0.2">
      <c r="B205" s="4"/>
      <c r="C205" s="4" t="s">
        <v>42</v>
      </c>
      <c r="D205" s="4" t="s">
        <v>132</v>
      </c>
      <c r="F205" s="4" t="s">
        <v>134</v>
      </c>
      <c r="M205" s="5">
        <f t="shared" si="104"/>
        <v>59.5</v>
      </c>
      <c r="N205" s="43">
        <f t="shared" si="102"/>
        <v>47574</v>
      </c>
      <c r="O205" s="31">
        <f t="shared" si="75"/>
        <v>234388.80689395205</v>
      </c>
      <c r="P205" s="31">
        <f t="shared" si="88"/>
        <v>102000</v>
      </c>
      <c r="Q205" s="30">
        <f t="shared" si="76"/>
        <v>14871.691424280767</v>
      </c>
      <c r="R205" s="31">
        <f t="shared" si="77"/>
        <v>41143.899499020306</v>
      </c>
      <c r="S205" s="47">
        <f t="shared" si="78"/>
        <v>743414.21825398668</v>
      </c>
      <c r="T205" s="30">
        <f t="shared" si="79"/>
        <v>524514.20309406554</v>
      </c>
      <c r="U205" s="31">
        <f t="shared" si="105"/>
        <v>48000</v>
      </c>
      <c r="V205" s="30">
        <f t="shared" si="80"/>
        <v>237480.07252113154</v>
      </c>
      <c r="W205" s="38">
        <f t="shared" si="83"/>
        <v>1795089.0615425296</v>
      </c>
      <c r="X205" s="69">
        <f t="shared" si="92"/>
        <v>2080569.1340636611</v>
      </c>
      <c r="Y205">
        <f t="shared" si="81"/>
        <v>167</v>
      </c>
      <c r="Z205" s="30">
        <f t="shared" si="84"/>
        <v>236756.24237722426</v>
      </c>
      <c r="AA205" s="2">
        <f t="shared" ca="1" si="101"/>
        <v>24</v>
      </c>
    </row>
    <row r="206" spans="2:27" x14ac:dyDescent="0.2">
      <c r="C206">
        <v>45</v>
      </c>
      <c r="D206" s="6">
        <v>38.799999999999997</v>
      </c>
      <c r="F206">
        <f>IF(INT($J$22)=C206,D206*$J$25*12,0)</f>
        <v>0</v>
      </c>
      <c r="M206" s="5">
        <f t="shared" si="104"/>
        <v>59.5</v>
      </c>
      <c r="N206" s="43">
        <f t="shared" si="102"/>
        <v>47604</v>
      </c>
      <c r="O206" s="31">
        <f t="shared" si="75"/>
        <v>236590.72760945087</v>
      </c>
      <c r="P206" s="31">
        <f t="shared" si="88"/>
        <v>102000</v>
      </c>
      <c r="Q206" s="30">
        <f t="shared" si="76"/>
        <v>14977.032571869422</v>
      </c>
      <c r="R206" s="31">
        <f t="shared" si="77"/>
        <v>41435.335453805033</v>
      </c>
      <c r="S206" s="47">
        <f t="shared" si="78"/>
        <v>748680.06896661909</v>
      </c>
      <c r="T206" s="30">
        <f t="shared" si="79"/>
        <v>528229.51203264855</v>
      </c>
      <c r="U206" s="31">
        <f t="shared" si="105"/>
        <v>48000</v>
      </c>
      <c r="V206" s="30">
        <f t="shared" si="80"/>
        <v>239520.55636815625</v>
      </c>
      <c r="W206" s="38">
        <f t="shared" si="83"/>
        <v>1808929.275728456</v>
      </c>
      <c r="X206" s="69">
        <f t="shared" si="92"/>
        <v>2096449.8320966123</v>
      </c>
      <c r="Y206">
        <f t="shared" si="81"/>
        <v>167</v>
      </c>
      <c r="Z206" s="30">
        <f t="shared" si="84"/>
        <v>239016.59909406296</v>
      </c>
      <c r="AA206" s="2">
        <f t="shared" ca="1" si="101"/>
        <v>24</v>
      </c>
    </row>
    <row r="207" spans="2:27" x14ac:dyDescent="0.2">
      <c r="C207">
        <f>C206+1</f>
        <v>46</v>
      </c>
      <c r="D207" s="6">
        <v>37.9</v>
      </c>
      <c r="F207">
        <f>IF(INT($J$22)=C207,D207*$J$25*12,F206)</f>
        <v>0</v>
      </c>
      <c r="M207" s="5">
        <f t="shared" si="104"/>
        <v>59.6</v>
      </c>
      <c r="N207" s="43">
        <f t="shared" si="102"/>
        <v>47635</v>
      </c>
      <c r="O207" s="31">
        <f t="shared" si="75"/>
        <v>238808.24526335113</v>
      </c>
      <c r="P207" s="31">
        <f t="shared" si="88"/>
        <v>102000</v>
      </c>
      <c r="Q207" s="30">
        <f t="shared" si="76"/>
        <v>15083.119885920163</v>
      </c>
      <c r="R207" s="31">
        <f t="shared" si="77"/>
        <v>41728.835746602817</v>
      </c>
      <c r="S207" s="47">
        <f t="shared" si="78"/>
        <v>753983.21945513261</v>
      </c>
      <c r="T207" s="30">
        <f t="shared" si="79"/>
        <v>531971.1377428798</v>
      </c>
      <c r="U207" s="31">
        <f t="shared" si="105"/>
        <v>48000</v>
      </c>
      <c r="V207" s="30">
        <f t="shared" si="80"/>
        <v>241575.49364243069</v>
      </c>
      <c r="W207" s="38">
        <f t="shared" si="83"/>
        <v>1822867.5247648659</v>
      </c>
      <c r="X207" s="69">
        <f t="shared" si="92"/>
        <v>2112443.0184072964</v>
      </c>
      <c r="Y207">
        <f t="shared" si="81"/>
        <v>167</v>
      </c>
      <c r="Z207" s="30">
        <f t="shared" si="84"/>
        <v>241292.96667097925</v>
      </c>
      <c r="AA207" s="2">
        <f t="shared" ca="1" si="101"/>
        <v>24</v>
      </c>
    </row>
    <row r="208" spans="2:27" x14ac:dyDescent="0.2">
      <c r="C208">
        <f t="shared" ref="C208:C264" si="106">C207+1</f>
        <v>47</v>
      </c>
      <c r="D208" s="6">
        <v>37</v>
      </c>
      <c r="F208">
        <f t="shared" ref="F208:F264" si="107">IF(INT($J$22)=C208,D208*$J$25*12,F207)</f>
        <v>0</v>
      </c>
      <c r="M208" s="5">
        <f t="shared" si="104"/>
        <v>59.7</v>
      </c>
      <c r="N208" s="43">
        <f t="shared" si="102"/>
        <v>47665</v>
      </c>
      <c r="O208" s="31">
        <f t="shared" si="75"/>
        <v>241041.47033396651</v>
      </c>
      <c r="P208" s="31">
        <f t="shared" si="88"/>
        <v>102000</v>
      </c>
      <c r="Q208" s="30">
        <f t="shared" si="76"/>
        <v>15189.958651778765</v>
      </c>
      <c r="R208" s="31">
        <f t="shared" si="77"/>
        <v>42024.414999807923</v>
      </c>
      <c r="S208" s="47">
        <f t="shared" si="78"/>
        <v>759323.93392627314</v>
      </c>
      <c r="T208" s="30">
        <f t="shared" si="79"/>
        <v>535739.26663522515</v>
      </c>
      <c r="U208" s="31">
        <f t="shared" si="105"/>
        <v>48000</v>
      </c>
      <c r="V208" s="30">
        <f t="shared" si="80"/>
        <v>243644.98672239791</v>
      </c>
      <c r="W208" s="38">
        <f t="shared" si="83"/>
        <v>1836904.5030652834</v>
      </c>
      <c r="X208" s="69">
        <f t="shared" si="92"/>
        <v>2128549.489787681</v>
      </c>
      <c r="Y208">
        <f t="shared" si="81"/>
        <v>167</v>
      </c>
      <c r="Z208" s="30">
        <f t="shared" si="84"/>
        <v>243585.45851823202</v>
      </c>
      <c r="AA208" s="2">
        <f t="shared" ca="1" si="101"/>
        <v>24</v>
      </c>
    </row>
    <row r="209" spans="3:27" x14ac:dyDescent="0.2">
      <c r="C209">
        <f t="shared" si="106"/>
        <v>48</v>
      </c>
      <c r="D209" s="6">
        <v>36</v>
      </c>
      <c r="F209">
        <f t="shared" si="107"/>
        <v>0</v>
      </c>
      <c r="M209" s="5">
        <f t="shared" si="104"/>
        <v>59.8</v>
      </c>
      <c r="N209" s="43">
        <f t="shared" si="102"/>
        <v>47696</v>
      </c>
      <c r="O209" s="31">
        <f t="shared" si="75"/>
        <v>243290.51408216543</v>
      </c>
      <c r="P209" s="31">
        <f t="shared" si="88"/>
        <v>102000</v>
      </c>
      <c r="Q209" s="30">
        <f t="shared" si="76"/>
        <v>15297.554192228865</v>
      </c>
      <c r="R209" s="31">
        <f t="shared" si="77"/>
        <v>42322.087939389894</v>
      </c>
      <c r="S209" s="47">
        <f t="shared" si="78"/>
        <v>764702.47845825087</v>
      </c>
      <c r="T209" s="30">
        <f t="shared" si="79"/>
        <v>539534.08644055796</v>
      </c>
      <c r="U209" s="31">
        <f t="shared" si="105"/>
        <v>48000</v>
      </c>
      <c r="V209" s="30">
        <f t="shared" si="80"/>
        <v>245729.13871168156</v>
      </c>
      <c r="W209" s="38">
        <f t="shared" si="83"/>
        <v>1851040.9099619959</v>
      </c>
      <c r="X209" s="69">
        <f t="shared" si="92"/>
        <v>2144770.0486736773</v>
      </c>
      <c r="Y209">
        <f t="shared" si="81"/>
        <v>167</v>
      </c>
      <c r="Z209" s="30">
        <f t="shared" si="84"/>
        <v>245894.18884940282</v>
      </c>
      <c r="AA209" s="2">
        <f t="shared" ca="1" si="101"/>
        <v>24</v>
      </c>
    </row>
    <row r="210" spans="3:27" x14ac:dyDescent="0.2">
      <c r="C210">
        <f t="shared" si="106"/>
        <v>49</v>
      </c>
      <c r="D210" s="6">
        <v>35.1</v>
      </c>
      <c r="F210">
        <f t="shared" si="107"/>
        <v>0</v>
      </c>
      <c r="M210" s="5">
        <f t="shared" si="104"/>
        <v>59.9</v>
      </c>
      <c r="N210" s="43">
        <f t="shared" si="102"/>
        <v>47727</v>
      </c>
      <c r="O210" s="31">
        <f t="shared" si="75"/>
        <v>245555.48855691409</v>
      </c>
      <c r="P210" s="31">
        <f t="shared" si="88"/>
        <v>102000</v>
      </c>
      <c r="Q210" s="30">
        <f t="shared" si="76"/>
        <v>15405.911867757153</v>
      </c>
      <c r="R210" s="31">
        <f t="shared" si="77"/>
        <v>42621.86939562724</v>
      </c>
      <c r="S210" s="47">
        <f t="shared" si="78"/>
        <v>770119.12101399677</v>
      </c>
      <c r="T210" s="30">
        <f t="shared" si="79"/>
        <v>543355.78621951188</v>
      </c>
      <c r="U210" s="31">
        <f t="shared" si="105"/>
        <v>48000</v>
      </c>
      <c r="V210" s="30">
        <f t="shared" si="80"/>
        <v>247828.05344422263</v>
      </c>
      <c r="W210" s="38">
        <f t="shared" si="83"/>
        <v>1865277.4497408932</v>
      </c>
      <c r="X210" s="69">
        <f t="shared" si="92"/>
        <v>2161105.5031851158</v>
      </c>
      <c r="Y210">
        <f t="shared" si="81"/>
        <v>167</v>
      </c>
      <c r="Z210" s="30">
        <f t="shared" si="84"/>
        <v>248219.27268708611</v>
      </c>
      <c r="AA210" s="2">
        <f t="shared" ca="1" si="101"/>
        <v>24</v>
      </c>
    </row>
    <row r="211" spans="3:27" x14ac:dyDescent="0.2">
      <c r="C211">
        <f t="shared" si="106"/>
        <v>50</v>
      </c>
      <c r="D211" s="6">
        <v>34.200000000000003</v>
      </c>
      <c r="F211">
        <f t="shared" si="107"/>
        <v>0</v>
      </c>
      <c r="M211" s="5">
        <f t="shared" si="104"/>
        <v>60</v>
      </c>
      <c r="N211" s="43">
        <f t="shared" si="102"/>
        <v>47757</v>
      </c>
      <c r="O211" s="31">
        <f t="shared" si="75"/>
        <v>247836.50660085888</v>
      </c>
      <c r="P211" s="31">
        <f t="shared" si="88"/>
        <v>102000</v>
      </c>
      <c r="Q211" s="30">
        <f t="shared" si="76"/>
        <v>15515.037076820434</v>
      </c>
      <c r="R211" s="31">
        <f t="shared" si="77"/>
        <v>42923.774303846265</v>
      </c>
      <c r="S211" s="47">
        <f t="shared" si="78"/>
        <v>775574.13145451259</v>
      </c>
      <c r="T211" s="30">
        <f t="shared" si="79"/>
        <v>547204.55637190014</v>
      </c>
      <c r="U211" s="31">
        <f t="shared" si="105"/>
        <v>48000</v>
      </c>
      <c r="V211" s="30">
        <f t="shared" si="80"/>
        <v>249941.83548945255</v>
      </c>
      <c r="W211" s="38">
        <f t="shared" si="83"/>
        <v>1879614.8316765581</v>
      </c>
      <c r="X211" s="69">
        <f t="shared" si="92"/>
        <v>2177556.6671660109</v>
      </c>
      <c r="Y211">
        <f t="shared" si="81"/>
        <v>167</v>
      </c>
      <c r="Z211" s="30">
        <f t="shared" si="84"/>
        <v>250560.82586861964</v>
      </c>
      <c r="AA211" s="2">
        <f t="shared" ca="1" si="101"/>
        <v>24</v>
      </c>
    </row>
    <row r="212" spans="3:27" x14ac:dyDescent="0.2">
      <c r="C212">
        <f t="shared" si="106"/>
        <v>51</v>
      </c>
      <c r="D212" s="6">
        <v>33.299999999999997</v>
      </c>
      <c r="F212">
        <f t="shared" si="107"/>
        <v>0</v>
      </c>
      <c r="M212" s="5">
        <f t="shared" si="104"/>
        <v>60</v>
      </c>
      <c r="N212" s="43">
        <f t="shared" si="102"/>
        <v>47788</v>
      </c>
      <c r="O212" s="31">
        <f t="shared" si="75"/>
        <v>250133.68185594829</v>
      </c>
      <c r="P212" s="31">
        <f t="shared" si="88"/>
        <v>102000</v>
      </c>
      <c r="Q212" s="30">
        <f t="shared" si="76"/>
        <v>15624.935256114579</v>
      </c>
      <c r="R212" s="31">
        <f t="shared" si="77"/>
        <v>43227.817705165173</v>
      </c>
      <c r="S212" s="47">
        <f t="shared" si="78"/>
        <v>781067.78155231534</v>
      </c>
      <c r="T212" s="30">
        <f t="shared" si="79"/>
        <v>551080.58864620107</v>
      </c>
      <c r="U212" s="31">
        <f t="shared" si="105"/>
        <v>48000</v>
      </c>
      <c r="V212" s="30">
        <f t="shared" si="80"/>
        <v>252070.59015750285</v>
      </c>
      <c r="W212" s="38">
        <f t="shared" si="83"/>
        <v>1894053.7700676003</v>
      </c>
      <c r="X212" s="69">
        <f t="shared" si="92"/>
        <v>2194124.3602251033</v>
      </c>
      <c r="Y212">
        <f t="shared" si="81"/>
        <v>167</v>
      </c>
      <c r="Z212" s="30">
        <f t="shared" si="84"/>
        <v>252918.96505185569</v>
      </c>
      <c r="AA212" s="2">
        <f t="shared" ca="1" si="101"/>
        <v>24</v>
      </c>
    </row>
    <row r="213" spans="3:27" x14ac:dyDescent="0.2">
      <c r="C213">
        <f t="shared" si="106"/>
        <v>52</v>
      </c>
      <c r="D213" s="6">
        <v>32.299999999999997</v>
      </c>
      <c r="F213">
        <f t="shared" si="107"/>
        <v>0</v>
      </c>
      <c r="M213" s="5">
        <f t="shared" si="104"/>
        <v>60.1</v>
      </c>
      <c r="N213" s="43">
        <f t="shared" si="102"/>
        <v>47818</v>
      </c>
      <c r="O213" s="31">
        <f t="shared" si="75"/>
        <v>252447.12876909459</v>
      </c>
      <c r="P213" s="31">
        <f t="shared" si="88"/>
        <v>102000</v>
      </c>
      <c r="Q213" s="30">
        <f t="shared" si="76"/>
        <v>15735.61188084539</v>
      </c>
      <c r="R213" s="31">
        <f t="shared" si="77"/>
        <v>43534.014747243426</v>
      </c>
      <c r="S213" s="47">
        <f t="shared" si="78"/>
        <v>786600.34500497754</v>
      </c>
      <c r="T213" s="30">
        <f t="shared" si="79"/>
        <v>554984.07614911161</v>
      </c>
      <c r="U213" s="31">
        <f t="shared" si="105"/>
        <v>48000</v>
      </c>
      <c r="V213" s="30">
        <f t="shared" si="80"/>
        <v>254214.42350445184</v>
      </c>
      <c r="W213" s="38">
        <f t="shared" si="83"/>
        <v>1908594.9842722456</v>
      </c>
      <c r="X213" s="69">
        <f t="shared" si="92"/>
        <v>2210809.4077766975</v>
      </c>
      <c r="Y213">
        <f t="shared" si="81"/>
        <v>167</v>
      </c>
      <c r="Z213" s="30">
        <f t="shared" si="84"/>
        <v>255293.80772097301</v>
      </c>
      <c r="AA213" s="2">
        <f t="shared" ca="1" si="101"/>
        <v>24</v>
      </c>
    </row>
    <row r="214" spans="3:27" x14ac:dyDescent="0.2">
      <c r="C214">
        <f t="shared" si="106"/>
        <v>53</v>
      </c>
      <c r="D214" s="6">
        <v>31.4</v>
      </c>
      <c r="F214">
        <f t="shared" si="107"/>
        <v>0</v>
      </c>
      <c r="M214" s="5">
        <f t="shared" si="104"/>
        <v>60.2</v>
      </c>
      <c r="N214" s="43">
        <f t="shared" si="102"/>
        <v>47849</v>
      </c>
      <c r="O214" s="31">
        <f t="shared" si="75"/>
        <v>254776.96259787565</v>
      </c>
      <c r="P214" s="31">
        <f t="shared" ref="P214" si="108">IF(M214&gt;50,MAX(P213,P202+$J$13),MAX(P213,P202+$I$13))</f>
        <v>108500</v>
      </c>
      <c r="Q214" s="30">
        <f t="shared" si="76"/>
        <v>15847.072465001378</v>
      </c>
      <c r="R214" s="31">
        <f t="shared" si="77"/>
        <v>43842.380685036398</v>
      </c>
      <c r="S214" s="47">
        <f t="shared" si="78"/>
        <v>792172.09744876274</v>
      </c>
      <c r="T214" s="30">
        <f t="shared" si="79"/>
        <v>558915.21335516777</v>
      </c>
      <c r="U214" s="31">
        <f t="shared" si="105"/>
        <v>48000</v>
      </c>
      <c r="V214" s="30">
        <f t="shared" si="80"/>
        <v>256373.44233760837</v>
      </c>
      <c r="W214" s="38">
        <f t="shared" si="83"/>
        <v>1923239.1987441739</v>
      </c>
      <c r="X214" s="69">
        <f t="shared" si="92"/>
        <v>2227612.6410817825</v>
      </c>
      <c r="Y214">
        <f t="shared" si="81"/>
        <v>167</v>
      </c>
      <c r="Z214" s="30">
        <f t="shared" si="84"/>
        <v>257685.47219232991</v>
      </c>
      <c r="AA214" s="2">
        <f t="shared" ca="1" si="101"/>
        <v>24</v>
      </c>
    </row>
    <row r="215" spans="3:27" x14ac:dyDescent="0.2">
      <c r="C215">
        <f t="shared" si="106"/>
        <v>54</v>
      </c>
      <c r="D215" s="6">
        <v>30.5</v>
      </c>
      <c r="F215">
        <f t="shared" si="107"/>
        <v>0</v>
      </c>
      <c r="M215" s="5">
        <f t="shared" si="104"/>
        <v>60.3</v>
      </c>
      <c r="N215" s="43">
        <f t="shared" si="102"/>
        <v>47880</v>
      </c>
      <c r="O215" s="31">
        <f t="shared" si="75"/>
        <v>257123.29941627727</v>
      </c>
      <c r="P215" s="31">
        <f t="shared" si="88"/>
        <v>108500</v>
      </c>
      <c r="Q215" s="30">
        <f t="shared" si="76"/>
        <v>15959.322561628471</v>
      </c>
      <c r="R215" s="31">
        <f t="shared" si="77"/>
        <v>44152.930881555403</v>
      </c>
      <c r="S215" s="47">
        <f t="shared" si="78"/>
        <v>797783.31647235819</v>
      </c>
      <c r="T215" s="30">
        <f t="shared" si="79"/>
        <v>562874.1961164336</v>
      </c>
      <c r="U215" s="31">
        <f t="shared" ref="U215" si="109">U214+$K$18</f>
        <v>49500</v>
      </c>
      <c r="V215" s="30">
        <f t="shared" si="80"/>
        <v>258547.7542208331</v>
      </c>
      <c r="W215" s="38">
        <f t="shared" si="83"/>
        <v>1937987.1430686119</v>
      </c>
      <c r="X215" s="69">
        <f t="shared" si="92"/>
        <v>2246034.8972894452</v>
      </c>
      <c r="Y215">
        <f t="shared" si="81"/>
        <v>167</v>
      </c>
      <c r="Z215" s="30">
        <f t="shared" si="84"/>
        <v>260094.07762035893</v>
      </c>
      <c r="AA215" s="2">
        <f t="shared" ca="1" si="101"/>
        <v>24</v>
      </c>
    </row>
    <row r="216" spans="3:27" x14ac:dyDescent="0.2">
      <c r="C216">
        <f t="shared" si="106"/>
        <v>55</v>
      </c>
      <c r="D216" s="6">
        <v>29.6</v>
      </c>
      <c r="F216">
        <f t="shared" si="107"/>
        <v>0</v>
      </c>
      <c r="M216" s="5">
        <f t="shared" si="104"/>
        <v>60.4</v>
      </c>
      <c r="N216" s="43">
        <f t="shared" si="102"/>
        <v>47908</v>
      </c>
      <c r="O216" s="31">
        <f t="shared" si="75"/>
        <v>259486.25612047588</v>
      </c>
      <c r="P216" s="31">
        <f t="shared" si="88"/>
        <v>108500</v>
      </c>
      <c r="Q216" s="30">
        <f t="shared" si="76"/>
        <v>16072.367763106673</v>
      </c>
      <c r="R216" s="31">
        <f t="shared" si="77"/>
        <v>44465.680808633086</v>
      </c>
      <c r="S216" s="47">
        <f t="shared" si="78"/>
        <v>803434.28163070406</v>
      </c>
      <c r="T216" s="30">
        <f t="shared" si="79"/>
        <v>572128.90282042976</v>
      </c>
      <c r="U216" s="31">
        <f t="shared" ref="U216:U226" si="110">U215</f>
        <v>49500</v>
      </c>
      <c r="V216" s="30">
        <f t="shared" si="80"/>
        <v>260737.46747989734</v>
      </c>
      <c r="W216" s="38">
        <f t="shared" si="83"/>
        <v>1958107.2331468526</v>
      </c>
      <c r="X216" s="69">
        <f t="shared" si="92"/>
        <v>2268344.70062675</v>
      </c>
      <c r="Y216">
        <f t="shared" si="81"/>
        <v>167</v>
      </c>
      <c r="Z216" s="30">
        <f t="shared" si="84"/>
        <v>262519.74400350312</v>
      </c>
      <c r="AA216" s="2">
        <f t="shared" ca="1" si="101"/>
        <v>24</v>
      </c>
    </row>
    <row r="217" spans="3:27" x14ac:dyDescent="0.2">
      <c r="C217">
        <f t="shared" si="106"/>
        <v>56</v>
      </c>
      <c r="D217" s="6">
        <v>28.7</v>
      </c>
      <c r="F217">
        <f t="shared" si="107"/>
        <v>688800</v>
      </c>
      <c r="M217" s="5">
        <f t="shared" si="104"/>
        <v>60.5</v>
      </c>
      <c r="N217" s="43">
        <f t="shared" si="102"/>
        <v>47939</v>
      </c>
      <c r="O217" s="31">
        <f t="shared" ref="O217:O274" si="111">IF(YEAR(N217)&lt;2020,O216*(1+$J$23/12)+$I$13/12,O216*(1+$J$23/12)+$J$13/12)</f>
        <v>261865.95043466258</v>
      </c>
      <c r="P217" s="31">
        <f t="shared" si="88"/>
        <v>108500</v>
      </c>
      <c r="Q217" s="30">
        <f t="shared" ref="Q217:Q274" si="112">Q216*(1+$J$23/12)+$I$19/12</f>
        <v>16186.213701428678</v>
      </c>
      <c r="R217" s="31">
        <f t="shared" ref="R217:R274" si="113">IF(YEAR(N217)&lt;2020,R216*(1+$J$23/12)+$I$14/12,R216*(1+$J$23/12)+$J$14/12)</f>
        <v>44780.646047694237</v>
      </c>
      <c r="S217" s="47">
        <f t="shared" ref="S217:S274" si="114">S216*(1+$J$23/12)+$I$15/12</f>
        <v>809125.27445892151</v>
      </c>
      <c r="T217" s="30">
        <f t="shared" ref="T217:T274" si="115">IF(MONTH(N217)=3,T216*(1+$J$23/12)+(0.05*($J$42*((1+$J$43)^(YEAR(N217)-2014)))),T216*(1+$J$23/12))</f>
        <v>576181.48254874116</v>
      </c>
      <c r="U217" s="31">
        <f t="shared" si="110"/>
        <v>49500</v>
      </c>
      <c r="V217" s="30">
        <f t="shared" ref="V217:V274" si="116">IF(YEAR(N217)&lt;2025,V216*(1+$J$23/12)+$I$16/12,V216*(1+$J$23/12)+$K$16/12)</f>
        <v>262942.69120787992</v>
      </c>
      <c r="W217" s="38">
        <f t="shared" si="83"/>
        <v>1973102.1593816427</v>
      </c>
      <c r="X217" s="69">
        <f t="shared" si="92"/>
        <v>2285544.8505895226</v>
      </c>
      <c r="Y217">
        <f t="shared" ref="Y217:Y274" si="117">IF(N217=$J$21,ROW(N217),Y216)</f>
        <v>167</v>
      </c>
      <c r="Z217" s="30">
        <f t="shared" si="84"/>
        <v>264962.59219019458</v>
      </c>
      <c r="AA217" s="2">
        <f t="shared" ca="1" si="101"/>
        <v>24</v>
      </c>
    </row>
    <row r="218" spans="3:27" x14ac:dyDescent="0.2">
      <c r="C218">
        <f t="shared" si="106"/>
        <v>57</v>
      </c>
      <c r="D218" s="6">
        <v>27.9</v>
      </c>
      <c r="F218">
        <f t="shared" si="107"/>
        <v>688800</v>
      </c>
      <c r="M218" s="5">
        <f t="shared" si="104"/>
        <v>60.5</v>
      </c>
      <c r="N218" s="43">
        <f t="shared" si="102"/>
        <v>47969</v>
      </c>
      <c r="O218" s="31">
        <f t="shared" si="111"/>
        <v>264262.50091690815</v>
      </c>
      <c r="P218" s="31">
        <f t="shared" si="88"/>
        <v>108500</v>
      </c>
      <c r="Q218" s="30">
        <f t="shared" si="112"/>
        <v>16300.866048480464</v>
      </c>
      <c r="R218" s="31">
        <f t="shared" si="113"/>
        <v>45097.842290532069</v>
      </c>
      <c r="S218" s="47">
        <f t="shared" si="114"/>
        <v>814856.57848633884</v>
      </c>
      <c r="T218" s="30">
        <f t="shared" si="115"/>
        <v>580262.76805012813</v>
      </c>
      <c r="U218" s="31">
        <f t="shared" si="110"/>
        <v>49500</v>
      </c>
      <c r="V218" s="30">
        <f t="shared" si="116"/>
        <v>265163.53527060238</v>
      </c>
      <c r="W218" s="38">
        <f t="shared" ref="W218:W274" si="118">O218+Q218+R218+S218+T218+Z218</f>
        <v>1988203.2996772625</v>
      </c>
      <c r="X218" s="69">
        <f t="shared" si="92"/>
        <v>2302866.834947865</v>
      </c>
      <c r="Y218">
        <f t="shared" si="117"/>
        <v>167</v>
      </c>
      <c r="Z218" s="30">
        <f t="shared" ref="Z218:Z274" si="119">Z217*(1+$J$23/12)+IF(M218&lt;50,$I$20/12,$J$20/12)</f>
        <v>267422.74388487509</v>
      </c>
      <c r="AA218" s="2">
        <f t="shared" ca="1" si="101"/>
        <v>24</v>
      </c>
    </row>
    <row r="219" spans="3:27" x14ac:dyDescent="0.2">
      <c r="C219">
        <f t="shared" si="106"/>
        <v>58</v>
      </c>
      <c r="D219" s="6">
        <v>27</v>
      </c>
      <c r="F219">
        <f t="shared" si="107"/>
        <v>688800</v>
      </c>
      <c r="M219" s="5">
        <f t="shared" si="104"/>
        <v>60.6</v>
      </c>
      <c r="N219" s="43">
        <f t="shared" si="102"/>
        <v>48000</v>
      </c>
      <c r="O219" s="31">
        <f t="shared" si="111"/>
        <v>266676.02696506958</v>
      </c>
      <c r="P219" s="31">
        <f t="shared" si="88"/>
        <v>108500</v>
      </c>
      <c r="Q219" s="30">
        <f t="shared" si="112"/>
        <v>16416.330516323866</v>
      </c>
      <c r="R219" s="31">
        <f t="shared" si="113"/>
        <v>45417.285340090006</v>
      </c>
      <c r="S219" s="47">
        <f t="shared" si="114"/>
        <v>820628.47925061709</v>
      </c>
      <c r="T219" s="30">
        <f t="shared" si="115"/>
        <v>584372.96265714988</v>
      </c>
      <c r="U219" s="31">
        <f t="shared" si="110"/>
        <v>49500</v>
      </c>
      <c r="V219" s="30">
        <f t="shared" si="116"/>
        <v>267400.11031210248</v>
      </c>
      <c r="W219" s="38">
        <f t="shared" si="118"/>
        <v>2003411.40638331</v>
      </c>
      <c r="X219" s="69">
        <f t="shared" si="92"/>
        <v>2320311.5166954123</v>
      </c>
      <c r="Y219">
        <f t="shared" si="117"/>
        <v>167</v>
      </c>
      <c r="Z219" s="30">
        <f t="shared" si="119"/>
        <v>269900.32165405957</v>
      </c>
      <c r="AA219" s="2">
        <f t="shared" ca="1" si="101"/>
        <v>24</v>
      </c>
    </row>
    <row r="220" spans="3:27" x14ac:dyDescent="0.2">
      <c r="C220">
        <f t="shared" si="106"/>
        <v>59</v>
      </c>
      <c r="D220" s="6">
        <v>36.1</v>
      </c>
      <c r="F220">
        <f t="shared" si="107"/>
        <v>688800</v>
      </c>
      <c r="M220" s="5">
        <f t="shared" si="104"/>
        <v>60.7</v>
      </c>
      <c r="N220" s="43">
        <f t="shared" si="102"/>
        <v>48030</v>
      </c>
      <c r="O220" s="31">
        <f t="shared" si="111"/>
        <v>269106.64882273885</v>
      </c>
      <c r="P220" s="31">
        <f t="shared" si="88"/>
        <v>108500</v>
      </c>
      <c r="Q220" s="30">
        <f t="shared" si="112"/>
        <v>16532.612857481159</v>
      </c>
      <c r="R220" s="31">
        <f t="shared" si="113"/>
        <v>45738.991111248979</v>
      </c>
      <c r="S220" s="47">
        <f t="shared" si="114"/>
        <v>826441.26431197568</v>
      </c>
      <c r="T220" s="30">
        <f t="shared" si="115"/>
        <v>588512.27114263806</v>
      </c>
      <c r="U220" s="31">
        <f t="shared" si="110"/>
        <v>49500</v>
      </c>
      <c r="V220" s="30">
        <f t="shared" si="116"/>
        <v>269652.52776014654</v>
      </c>
      <c r="W220" s="38">
        <f t="shared" si="118"/>
        <v>2018727.2371785254</v>
      </c>
      <c r="X220" s="69">
        <f t="shared" si="92"/>
        <v>2337879.7649386716</v>
      </c>
      <c r="Y220">
        <f t="shared" si="117"/>
        <v>167</v>
      </c>
      <c r="Z220" s="30">
        <f t="shared" si="119"/>
        <v>272395.44893244246</v>
      </c>
      <c r="AA220" s="2">
        <f t="shared" ca="1" si="101"/>
        <v>24</v>
      </c>
    </row>
    <row r="221" spans="3:27" x14ac:dyDescent="0.2">
      <c r="C221">
        <f t="shared" si="106"/>
        <v>60</v>
      </c>
      <c r="D221" s="6">
        <v>25.2</v>
      </c>
      <c r="F221">
        <f t="shared" si="107"/>
        <v>688800</v>
      </c>
      <c r="M221" s="5">
        <f t="shared" si="104"/>
        <v>60.8</v>
      </c>
      <c r="N221" s="43">
        <f t="shared" si="102"/>
        <v>48061</v>
      </c>
      <c r="O221" s="31">
        <f t="shared" si="111"/>
        <v>271554.48758523329</v>
      </c>
      <c r="P221" s="31">
        <f t="shared" si="88"/>
        <v>108500</v>
      </c>
      <c r="Q221" s="30">
        <f t="shared" si="112"/>
        <v>16649.71886522165</v>
      </c>
      <c r="R221" s="31">
        <f t="shared" si="113"/>
        <v>46062.975631620327</v>
      </c>
      <c r="S221" s="47">
        <f t="shared" si="114"/>
        <v>832295.2232675188</v>
      </c>
      <c r="T221" s="30">
        <f t="shared" si="115"/>
        <v>592680.89972989843</v>
      </c>
      <c r="U221" s="31">
        <f t="shared" si="110"/>
        <v>49500</v>
      </c>
      <c r="V221" s="30">
        <f t="shared" si="116"/>
        <v>271920.89983178087</v>
      </c>
      <c r="W221" s="38">
        <f t="shared" si="118"/>
        <v>2034151.5551085398</v>
      </c>
      <c r="X221" s="69">
        <f t="shared" si="92"/>
        <v>2355572.4549403209</v>
      </c>
      <c r="Y221">
        <f t="shared" si="117"/>
        <v>167</v>
      </c>
      <c r="Z221" s="30">
        <f t="shared" si="119"/>
        <v>274908.25002904725</v>
      </c>
      <c r="AA221" s="2">
        <f t="shared" ca="1" si="101"/>
        <v>24</v>
      </c>
    </row>
    <row r="222" spans="3:27" x14ac:dyDescent="0.2">
      <c r="C222">
        <f t="shared" si="106"/>
        <v>61</v>
      </c>
      <c r="D222" s="6">
        <v>24.4</v>
      </c>
      <c r="F222">
        <f t="shared" si="107"/>
        <v>688800</v>
      </c>
      <c r="M222" s="5">
        <f t="shared" si="104"/>
        <v>60.9</v>
      </c>
      <c r="N222" s="43">
        <f t="shared" si="102"/>
        <v>48092</v>
      </c>
      <c r="O222" s="31">
        <f t="shared" si="111"/>
        <v>274019.66520562873</v>
      </c>
      <c r="P222" s="31">
        <f t="shared" si="88"/>
        <v>108500</v>
      </c>
      <c r="Q222" s="30">
        <f t="shared" si="112"/>
        <v>16767.654373850302</v>
      </c>
      <c r="R222" s="31">
        <f t="shared" si="113"/>
        <v>46389.255042344303</v>
      </c>
      <c r="S222" s="47">
        <f t="shared" si="114"/>
        <v>838190.64776566369</v>
      </c>
      <c r="T222" s="30">
        <f t="shared" si="115"/>
        <v>596879.05610298517</v>
      </c>
      <c r="U222" s="31">
        <f t="shared" si="110"/>
        <v>49500</v>
      </c>
      <c r="V222" s="30">
        <f t="shared" si="116"/>
        <v>274205.33953892265</v>
      </c>
      <c r="W222" s="38">
        <f t="shared" si="118"/>
        <v>2049685.1286238919</v>
      </c>
      <c r="X222" s="69">
        <f t="shared" si="92"/>
        <v>2373390.4681628142</v>
      </c>
      <c r="Y222">
        <f t="shared" si="117"/>
        <v>167</v>
      </c>
      <c r="Z222" s="30">
        <f t="shared" si="119"/>
        <v>277438.85013341968</v>
      </c>
      <c r="AA222" s="2">
        <f t="shared" ca="1" si="101"/>
        <v>24</v>
      </c>
    </row>
    <row r="223" spans="3:27" x14ac:dyDescent="0.2">
      <c r="C223">
        <f t="shared" si="106"/>
        <v>62</v>
      </c>
      <c r="D223" s="6">
        <v>23.5</v>
      </c>
      <c r="F223">
        <f t="shared" si="107"/>
        <v>688800</v>
      </c>
      <c r="M223" s="5">
        <f t="shared" si="104"/>
        <v>61</v>
      </c>
      <c r="N223" s="43">
        <f t="shared" si="102"/>
        <v>48122</v>
      </c>
      <c r="O223" s="31">
        <f t="shared" si="111"/>
        <v>276502.30450083531</v>
      </c>
      <c r="P223" s="31">
        <f t="shared" si="88"/>
        <v>108500</v>
      </c>
      <c r="Q223" s="30">
        <f t="shared" si="112"/>
        <v>16886.42525899841</v>
      </c>
      <c r="R223" s="31">
        <f t="shared" si="113"/>
        <v>46717.845598894244</v>
      </c>
      <c r="S223" s="47">
        <f t="shared" si="114"/>
        <v>844127.83152067044</v>
      </c>
      <c r="T223" s="30">
        <f t="shared" si="115"/>
        <v>601106.94941704802</v>
      </c>
      <c r="U223" s="31">
        <f t="shared" si="110"/>
        <v>49500</v>
      </c>
      <c r="V223" s="30">
        <f t="shared" si="116"/>
        <v>276505.96069399</v>
      </c>
      <c r="W223" s="38">
        <f t="shared" si="118"/>
        <v>2065328.7316183113</v>
      </c>
      <c r="X223" s="69">
        <f t="shared" si="92"/>
        <v>2391334.6923123011</v>
      </c>
      <c r="Y223">
        <f t="shared" si="117"/>
        <v>167</v>
      </c>
      <c r="Z223" s="30">
        <f t="shared" si="119"/>
        <v>279987.37532186473</v>
      </c>
      <c r="AA223" s="2">
        <f t="shared" ca="1" si="101"/>
        <v>24</v>
      </c>
    </row>
    <row r="224" spans="3:27" x14ac:dyDescent="0.2">
      <c r="C224">
        <f t="shared" si="106"/>
        <v>63</v>
      </c>
      <c r="D224" s="6">
        <v>22.7</v>
      </c>
      <c r="F224">
        <f t="shared" si="107"/>
        <v>688800</v>
      </c>
      <c r="M224" s="5">
        <f t="shared" si="104"/>
        <v>61</v>
      </c>
      <c r="N224" s="43">
        <f t="shared" si="102"/>
        <v>48153</v>
      </c>
      <c r="O224" s="31">
        <f t="shared" si="111"/>
        <v>279002.52915771626</v>
      </c>
      <c r="P224" s="31">
        <f t="shared" si="88"/>
        <v>108500</v>
      </c>
      <c r="Q224" s="30">
        <f t="shared" si="112"/>
        <v>17006.037437916315</v>
      </c>
      <c r="R224" s="31">
        <f t="shared" si="113"/>
        <v>47048.763671886409</v>
      </c>
      <c r="S224" s="47">
        <f t="shared" si="114"/>
        <v>850107.0703272752</v>
      </c>
      <c r="T224" s="30">
        <f t="shared" si="115"/>
        <v>605364.7903087521</v>
      </c>
      <c r="U224" s="31">
        <f t="shared" si="110"/>
        <v>49500</v>
      </c>
      <c r="V224" s="30">
        <f t="shared" si="116"/>
        <v>278822.87791557243</v>
      </c>
      <c r="W224" s="38">
        <f t="shared" si="118"/>
        <v>2081083.1434672743</v>
      </c>
      <c r="X224" s="69">
        <f t="shared" si="92"/>
        <v>2409406.0213828464</v>
      </c>
      <c r="Y224">
        <f t="shared" si="117"/>
        <v>167</v>
      </c>
      <c r="Z224" s="30">
        <f t="shared" si="119"/>
        <v>282553.95256372791</v>
      </c>
      <c r="AA224" s="2">
        <f t="shared" ca="1" si="101"/>
        <v>24</v>
      </c>
    </row>
    <row r="225" spans="3:27" x14ac:dyDescent="0.2">
      <c r="C225">
        <f t="shared" si="106"/>
        <v>64</v>
      </c>
      <c r="D225" s="6">
        <v>21.8</v>
      </c>
      <c r="F225">
        <f t="shared" si="107"/>
        <v>688800</v>
      </c>
      <c r="M225" s="5">
        <f t="shared" si="104"/>
        <v>61.1</v>
      </c>
      <c r="N225" s="43">
        <f t="shared" si="102"/>
        <v>48183</v>
      </c>
      <c r="O225" s="31">
        <f t="shared" si="111"/>
        <v>281520.46373925009</v>
      </c>
      <c r="P225" s="31">
        <f t="shared" si="88"/>
        <v>108500</v>
      </c>
      <c r="Q225" s="30">
        <f t="shared" si="112"/>
        <v>17126.496869768223</v>
      </c>
      <c r="R225" s="31">
        <f t="shared" si="113"/>
        <v>47382.025747895605</v>
      </c>
      <c r="S225" s="47">
        <f t="shared" si="114"/>
        <v>856128.66207542678</v>
      </c>
      <c r="T225" s="30">
        <f t="shared" si="115"/>
        <v>609652.79090677237</v>
      </c>
      <c r="U225" s="31">
        <f t="shared" si="110"/>
        <v>49500</v>
      </c>
      <c r="V225" s="30">
        <f t="shared" si="116"/>
        <v>281156.20663414104</v>
      </c>
      <c r="W225" s="38">
        <f t="shared" si="118"/>
        <v>2096949.1490668338</v>
      </c>
      <c r="X225" s="69">
        <f t="shared" si="92"/>
        <v>2427605.3557009748</v>
      </c>
      <c r="Y225">
        <f t="shared" si="117"/>
        <v>167</v>
      </c>
      <c r="Z225" s="30">
        <f t="shared" si="119"/>
        <v>285138.70972772094</v>
      </c>
      <c r="AA225" s="2">
        <f t="shared" ca="1" si="101"/>
        <v>24</v>
      </c>
    </row>
    <row r="226" spans="3:27" x14ac:dyDescent="0.2">
      <c r="C226">
        <f t="shared" si="106"/>
        <v>65</v>
      </c>
      <c r="D226" s="6">
        <v>21</v>
      </c>
      <c r="F226">
        <f t="shared" si="107"/>
        <v>688800</v>
      </c>
      <c r="M226" s="5">
        <f t="shared" si="104"/>
        <v>61.2</v>
      </c>
      <c r="N226" s="43">
        <f t="shared" si="102"/>
        <v>48214</v>
      </c>
      <c r="O226" s="31">
        <f t="shared" si="111"/>
        <v>284056.23369073647</v>
      </c>
      <c r="P226" s="31">
        <f t="shared" ref="P226" si="120">IF(M226&gt;50,MAX(P225,P214+$J$13),MAX(P225,P214+$I$13))</f>
        <v>115000</v>
      </c>
      <c r="Q226" s="30">
        <f t="shared" si="112"/>
        <v>17247.809555929081</v>
      </c>
      <c r="R226" s="31">
        <f t="shared" si="113"/>
        <v>47717.648430276531</v>
      </c>
      <c r="S226" s="47">
        <f t="shared" si="114"/>
        <v>862192.90676512767</v>
      </c>
      <c r="T226" s="30">
        <f t="shared" si="115"/>
        <v>613971.16484236205</v>
      </c>
      <c r="U226" s="31">
        <f t="shared" si="110"/>
        <v>49500</v>
      </c>
      <c r="V226" s="30">
        <f t="shared" si="116"/>
        <v>283506.06309779955</v>
      </c>
      <c r="W226" s="38">
        <f t="shared" si="118"/>
        <v>2112927.5388727239</v>
      </c>
      <c r="X226" s="69">
        <f t="shared" si="92"/>
        <v>2445933.6019705236</v>
      </c>
      <c r="Y226">
        <f t="shared" si="117"/>
        <v>167</v>
      </c>
      <c r="Z226" s="30">
        <f t="shared" si="119"/>
        <v>287741.77558829228</v>
      </c>
      <c r="AA226" s="2">
        <f t="shared" ca="1" si="101"/>
        <v>24</v>
      </c>
    </row>
    <row r="227" spans="3:27" x14ac:dyDescent="0.2">
      <c r="C227">
        <f t="shared" si="106"/>
        <v>66</v>
      </c>
      <c r="D227" s="6">
        <v>20.2</v>
      </c>
      <c r="F227">
        <f t="shared" si="107"/>
        <v>688800</v>
      </c>
      <c r="M227" s="5">
        <f t="shared" si="104"/>
        <v>61.3</v>
      </c>
      <c r="N227" s="43">
        <f t="shared" si="102"/>
        <v>48245</v>
      </c>
      <c r="O227" s="31">
        <f t="shared" si="111"/>
        <v>286609.96534604585</v>
      </c>
      <c r="P227" s="31">
        <f t="shared" ref="P227:P273" si="121">P226</f>
        <v>115000</v>
      </c>
      <c r="Q227" s="30">
        <f t="shared" si="112"/>
        <v>17369.981540283577</v>
      </c>
      <c r="R227" s="31">
        <f t="shared" si="113"/>
        <v>48055.64843999099</v>
      </c>
      <c r="S227" s="47">
        <f t="shared" si="114"/>
        <v>868300.1065213806</v>
      </c>
      <c r="T227" s="30">
        <f t="shared" si="115"/>
        <v>618320.12725999544</v>
      </c>
      <c r="U227" s="31">
        <f t="shared" ref="U227" si="122">U226+$K$18</f>
        <v>51000</v>
      </c>
      <c r="V227" s="30">
        <f t="shared" si="116"/>
        <v>285872.56437807559</v>
      </c>
      <c r="W227" s="38">
        <f t="shared" si="118"/>
        <v>2129019.1089397394</v>
      </c>
      <c r="X227" s="69">
        <f t="shared" si="92"/>
        <v>2465891.6733178152</v>
      </c>
      <c r="Y227">
        <f t="shared" si="117"/>
        <v>167</v>
      </c>
      <c r="Z227" s="30">
        <f t="shared" si="119"/>
        <v>290363.27983204264</v>
      </c>
      <c r="AA227" s="2">
        <f t="shared" ca="1" si="101"/>
        <v>24</v>
      </c>
    </row>
    <row r="228" spans="3:27" x14ac:dyDescent="0.2">
      <c r="C228">
        <f t="shared" si="106"/>
        <v>67</v>
      </c>
      <c r="D228" s="6">
        <v>19.399999999999999</v>
      </c>
      <c r="F228">
        <f t="shared" si="107"/>
        <v>688800</v>
      </c>
      <c r="M228" s="5">
        <f t="shared" si="104"/>
        <v>61.4</v>
      </c>
      <c r="N228" s="43">
        <f t="shared" si="102"/>
        <v>48274</v>
      </c>
      <c r="O228" s="31">
        <f t="shared" si="111"/>
        <v>289181.78593391372</v>
      </c>
      <c r="P228" s="31">
        <f t="shared" si="121"/>
        <v>115000</v>
      </c>
      <c r="Q228" s="30">
        <f t="shared" si="112"/>
        <v>17493.018909527254</v>
      </c>
      <c r="R228" s="31">
        <f t="shared" si="113"/>
        <v>48396.042616440929</v>
      </c>
      <c r="S228" s="47">
        <f t="shared" si="114"/>
        <v>874450.56560924032</v>
      </c>
      <c r="T228" s="30">
        <f t="shared" si="115"/>
        <v>628046.59119348112</v>
      </c>
      <c r="U228" s="31">
        <f t="shared" ref="U228:U238" si="123">U227</f>
        <v>51000</v>
      </c>
      <c r="V228" s="30">
        <f t="shared" si="116"/>
        <v>288255.8283757536</v>
      </c>
      <c r="W228" s="38">
        <f t="shared" si="118"/>
        <v>2150571.3573267898</v>
      </c>
      <c r="X228" s="69">
        <f t="shared" si="92"/>
        <v>2489827.1857025432</v>
      </c>
      <c r="Y228">
        <f t="shared" si="117"/>
        <v>167</v>
      </c>
      <c r="Z228" s="30">
        <f t="shared" si="119"/>
        <v>293003.35306418623</v>
      </c>
      <c r="AA228" s="2">
        <f t="shared" ca="1" si="101"/>
        <v>24</v>
      </c>
    </row>
    <row r="229" spans="3:27" x14ac:dyDescent="0.2">
      <c r="C229">
        <f t="shared" si="106"/>
        <v>68</v>
      </c>
      <c r="D229" s="6">
        <v>18.600000000000001</v>
      </c>
      <c r="F229">
        <f t="shared" si="107"/>
        <v>688800</v>
      </c>
      <c r="M229" s="5">
        <f t="shared" si="104"/>
        <v>61.5</v>
      </c>
      <c r="N229" s="43">
        <f t="shared" si="102"/>
        <v>48305</v>
      </c>
      <c r="O229" s="31">
        <f t="shared" si="111"/>
        <v>291771.82358427899</v>
      </c>
      <c r="P229" s="31">
        <f t="shared" si="121"/>
        <v>115000</v>
      </c>
      <c r="Q229" s="30">
        <f t="shared" si="112"/>
        <v>17616.927793469738</v>
      </c>
      <c r="R229" s="31">
        <f t="shared" si="113"/>
        <v>48738.847918307387</v>
      </c>
      <c r="S229" s="47">
        <f t="shared" si="114"/>
        <v>880644.59044897242</v>
      </c>
      <c r="T229" s="30">
        <f t="shared" si="115"/>
        <v>632495.25454776827</v>
      </c>
      <c r="U229" s="31">
        <f t="shared" si="123"/>
        <v>51000</v>
      </c>
      <c r="V229" s="30">
        <f t="shared" si="116"/>
        <v>290655.97382674849</v>
      </c>
      <c r="W229" s="38">
        <f t="shared" si="118"/>
        <v>2166929.5711078541</v>
      </c>
      <c r="X229" s="69">
        <f t="shared" si="92"/>
        <v>2508585.5449346025</v>
      </c>
      <c r="Y229">
        <f t="shared" si="117"/>
        <v>167</v>
      </c>
      <c r="Z229" s="30">
        <f t="shared" si="119"/>
        <v>295662.12681505753</v>
      </c>
      <c r="AA229" s="2">
        <f t="shared" ca="1" si="101"/>
        <v>24</v>
      </c>
    </row>
    <row r="230" spans="3:27" x14ac:dyDescent="0.2">
      <c r="C230">
        <f t="shared" si="106"/>
        <v>69</v>
      </c>
      <c r="D230" s="6">
        <v>17.8</v>
      </c>
      <c r="F230">
        <f t="shared" si="107"/>
        <v>688800</v>
      </c>
      <c r="M230" s="5">
        <f t="shared" si="104"/>
        <v>61.5</v>
      </c>
      <c r="N230" s="43">
        <f t="shared" si="102"/>
        <v>48335</v>
      </c>
      <c r="O230" s="31">
        <f t="shared" si="111"/>
        <v>294380.20733466768</v>
      </c>
      <c r="P230" s="31">
        <f t="shared" si="121"/>
        <v>115000</v>
      </c>
      <c r="Q230" s="30">
        <f t="shared" si="112"/>
        <v>17741.714365340147</v>
      </c>
      <c r="R230" s="31">
        <f t="shared" si="113"/>
        <v>49084.081424395401</v>
      </c>
      <c r="S230" s="47">
        <f t="shared" si="114"/>
        <v>886882.4896313193</v>
      </c>
      <c r="T230" s="30">
        <f t="shared" si="115"/>
        <v>636975.42926748167</v>
      </c>
      <c r="U230" s="31">
        <f t="shared" si="123"/>
        <v>51000</v>
      </c>
      <c r="V230" s="30">
        <f t="shared" si="116"/>
        <v>293073.12030802126</v>
      </c>
      <c r="W230" s="38">
        <f t="shared" si="118"/>
        <v>2183403.6555698682</v>
      </c>
      <c r="X230" s="69">
        <f t="shared" si="92"/>
        <v>2527476.7758778892</v>
      </c>
      <c r="Y230">
        <f t="shared" si="117"/>
        <v>167</v>
      </c>
      <c r="Z230" s="30">
        <f t="shared" si="119"/>
        <v>298339.73354666418</v>
      </c>
      <c r="AA230" s="2">
        <f t="shared" ca="1" si="101"/>
        <v>24</v>
      </c>
    </row>
    <row r="231" spans="3:27" x14ac:dyDescent="0.2">
      <c r="C231">
        <f t="shared" si="106"/>
        <v>70</v>
      </c>
      <c r="D231" s="6">
        <v>17</v>
      </c>
      <c r="F231">
        <f t="shared" si="107"/>
        <v>688800</v>
      </c>
      <c r="M231" s="5">
        <f t="shared" si="104"/>
        <v>61.6</v>
      </c>
      <c r="N231" s="43">
        <f t="shared" si="102"/>
        <v>48366</v>
      </c>
      <c r="O231" s="31">
        <f t="shared" si="111"/>
        <v>297007.06713662157</v>
      </c>
      <c r="P231" s="31">
        <f t="shared" si="121"/>
        <v>115000</v>
      </c>
      <c r="Q231" s="30">
        <f t="shared" si="112"/>
        <v>17867.384842094641</v>
      </c>
      <c r="R231" s="31">
        <f t="shared" si="113"/>
        <v>49431.760334484869</v>
      </c>
      <c r="S231" s="47">
        <f t="shared" si="114"/>
        <v>893164.57393287448</v>
      </c>
      <c r="T231" s="30">
        <f t="shared" si="115"/>
        <v>641487.33855812636</v>
      </c>
      <c r="U231" s="31">
        <f t="shared" si="123"/>
        <v>51000</v>
      </c>
      <c r="V231" s="30">
        <f t="shared" si="116"/>
        <v>295507.38824353641</v>
      </c>
      <c r="W231" s="38">
        <f t="shared" si="118"/>
        <v>2199994.4314634884</v>
      </c>
      <c r="X231" s="69">
        <f t="shared" si="92"/>
        <v>2546501.8197070248</v>
      </c>
      <c r="Y231">
        <f t="shared" si="117"/>
        <v>167</v>
      </c>
      <c r="Z231" s="30">
        <f t="shared" si="119"/>
        <v>301036.30665928638</v>
      </c>
      <c r="AA231" s="2">
        <f t="shared" ca="1" si="101"/>
        <v>24</v>
      </c>
    </row>
    <row r="232" spans="3:27" x14ac:dyDescent="0.2">
      <c r="C232">
        <f t="shared" si="106"/>
        <v>71</v>
      </c>
      <c r="D232" s="6">
        <v>16.3</v>
      </c>
      <c r="F232">
        <f t="shared" si="107"/>
        <v>688800</v>
      </c>
      <c r="M232" s="5">
        <f t="shared" si="104"/>
        <v>61.7</v>
      </c>
      <c r="N232" s="43">
        <f t="shared" si="102"/>
        <v>48396</v>
      </c>
      <c r="O232" s="31">
        <f t="shared" si="111"/>
        <v>299652.53386217268</v>
      </c>
      <c r="P232" s="31">
        <f t="shared" si="121"/>
        <v>115000</v>
      </c>
      <c r="Q232" s="30">
        <f t="shared" si="112"/>
        <v>17993.945484726144</v>
      </c>
      <c r="R232" s="31">
        <f t="shared" si="113"/>
        <v>49781.901970187471</v>
      </c>
      <c r="S232" s="47">
        <f t="shared" si="114"/>
        <v>899491.1563315657</v>
      </c>
      <c r="T232" s="30">
        <f t="shared" si="115"/>
        <v>646031.20720624644</v>
      </c>
      <c r="U232" s="31">
        <f t="shared" si="123"/>
        <v>51000</v>
      </c>
      <c r="V232" s="30">
        <f t="shared" si="116"/>
        <v>297958.89891026146</v>
      </c>
      <c r="W232" s="38">
        <f t="shared" si="118"/>
        <v>2216702.7253530212</v>
      </c>
      <c r="X232" s="69">
        <f t="shared" ref="X232:X274" si="124">O232+Q232+R232+S232+T232+V232+Z232+U232</f>
        <v>2565661.6242632829</v>
      </c>
      <c r="Y232">
        <f t="shared" si="117"/>
        <v>167</v>
      </c>
      <c r="Z232" s="30">
        <f t="shared" si="119"/>
        <v>303751.98049812298</v>
      </c>
      <c r="AA232" s="2">
        <f t="shared" ca="1" si="101"/>
        <v>24</v>
      </c>
    </row>
    <row r="233" spans="3:27" x14ac:dyDescent="0.2">
      <c r="C233">
        <f t="shared" si="106"/>
        <v>72</v>
      </c>
      <c r="D233" s="6">
        <v>15.5</v>
      </c>
      <c r="F233">
        <f t="shared" si="107"/>
        <v>688800</v>
      </c>
      <c r="M233" s="5">
        <f t="shared" si="104"/>
        <v>61.8</v>
      </c>
      <c r="N233" s="43">
        <f t="shared" si="102"/>
        <v>48427</v>
      </c>
      <c r="O233" s="31">
        <f t="shared" si="111"/>
        <v>302316.73931036307</v>
      </c>
      <c r="P233" s="31">
        <f t="shared" si="121"/>
        <v>115000</v>
      </c>
      <c r="Q233" s="30">
        <f t="shared" si="112"/>
        <v>18121.402598576289</v>
      </c>
      <c r="R233" s="31">
        <f t="shared" si="113"/>
        <v>50134.523775809634</v>
      </c>
      <c r="S233" s="47">
        <f t="shared" si="114"/>
        <v>905862.55202224758</v>
      </c>
      <c r="T233" s="30">
        <f t="shared" si="115"/>
        <v>650607.261590624</v>
      </c>
      <c r="U233" s="31">
        <f t="shared" si="123"/>
        <v>51000</v>
      </c>
      <c r="V233" s="30">
        <f t="shared" si="116"/>
        <v>300427.77444420912</v>
      </c>
      <c r="W233" s="38">
        <f t="shared" si="118"/>
        <v>2233529.369657605</v>
      </c>
      <c r="X233" s="69">
        <f t="shared" si="124"/>
        <v>2584957.1441018144</v>
      </c>
      <c r="Y233">
        <f t="shared" si="117"/>
        <v>167</v>
      </c>
      <c r="Z233" s="30">
        <f t="shared" si="119"/>
        <v>306486.89035998465</v>
      </c>
      <c r="AA233" s="2">
        <f t="shared" ca="1" si="101"/>
        <v>24</v>
      </c>
    </row>
    <row r="234" spans="3:27" x14ac:dyDescent="0.2">
      <c r="C234">
        <f t="shared" si="106"/>
        <v>73</v>
      </c>
      <c r="D234" s="6">
        <v>14.8</v>
      </c>
      <c r="F234">
        <f t="shared" si="107"/>
        <v>688800</v>
      </c>
      <c r="M234" s="5">
        <f t="shared" si="104"/>
        <v>61.9</v>
      </c>
      <c r="N234" s="43">
        <f t="shared" si="102"/>
        <v>48458</v>
      </c>
      <c r="O234" s="31">
        <f t="shared" si="111"/>
        <v>304999.81621381151</v>
      </c>
      <c r="P234" s="31">
        <f t="shared" si="121"/>
        <v>115000</v>
      </c>
      <c r="Q234" s="30">
        <f t="shared" si="112"/>
        <v>18249.762533649537</v>
      </c>
      <c r="R234" s="31">
        <f t="shared" si="113"/>
        <v>50489.643319221621</v>
      </c>
      <c r="S234" s="47">
        <f t="shared" si="114"/>
        <v>912279.07843240513</v>
      </c>
      <c r="T234" s="30">
        <f t="shared" si="115"/>
        <v>655215.7296935576</v>
      </c>
      <c r="U234" s="31">
        <f t="shared" si="123"/>
        <v>51000</v>
      </c>
      <c r="V234" s="30">
        <f t="shared" si="116"/>
        <v>302914.13784652227</v>
      </c>
      <c r="W234" s="38">
        <f t="shared" si="118"/>
        <v>2250475.2026926796</v>
      </c>
      <c r="X234" s="69">
        <f t="shared" si="124"/>
        <v>2604389.3405392016</v>
      </c>
      <c r="Y234">
        <f t="shared" si="117"/>
        <v>167</v>
      </c>
      <c r="Z234" s="30">
        <f t="shared" si="119"/>
        <v>309241.1725000345</v>
      </c>
      <c r="AA234" s="2">
        <f t="shared" ca="1" si="101"/>
        <v>24</v>
      </c>
    </row>
    <row r="235" spans="3:27" x14ac:dyDescent="0.2">
      <c r="C235">
        <f t="shared" si="106"/>
        <v>74</v>
      </c>
      <c r="D235" s="6">
        <v>14.1</v>
      </c>
      <c r="F235">
        <f t="shared" si="107"/>
        <v>688800</v>
      </c>
      <c r="M235" s="5">
        <f t="shared" si="104"/>
        <v>62</v>
      </c>
      <c r="N235" s="43">
        <f t="shared" si="102"/>
        <v>48488</v>
      </c>
      <c r="O235" s="31">
        <f t="shared" si="111"/>
        <v>307701.89824532601</v>
      </c>
      <c r="P235" s="31">
        <f t="shared" si="121"/>
        <v>115000</v>
      </c>
      <c r="Q235" s="30">
        <f t="shared" si="112"/>
        <v>18379.031684929556</v>
      </c>
      <c r="R235" s="31">
        <f t="shared" si="113"/>
        <v>50847.278292732772</v>
      </c>
      <c r="S235" s="47">
        <f t="shared" si="114"/>
        <v>918741.05523796799</v>
      </c>
      <c r="T235" s="30">
        <f t="shared" si="115"/>
        <v>659856.84111222031</v>
      </c>
      <c r="U235" s="31">
        <f t="shared" si="123"/>
        <v>51000</v>
      </c>
      <c r="V235" s="30">
        <f t="shared" si="116"/>
        <v>305418.1129896018</v>
      </c>
      <c r="W235" s="38">
        <f t="shared" si="118"/>
        <v>2267541.068711753</v>
      </c>
      <c r="X235" s="69">
        <f t="shared" si="124"/>
        <v>2623959.1817013547</v>
      </c>
      <c r="Y235">
        <f t="shared" si="117"/>
        <v>167</v>
      </c>
      <c r="Z235" s="30">
        <f t="shared" si="119"/>
        <v>312014.96413857641</v>
      </c>
      <c r="AA235" s="2">
        <f t="shared" ca="1" si="101"/>
        <v>24</v>
      </c>
    </row>
    <row r="236" spans="3:27" x14ac:dyDescent="0.2">
      <c r="C236">
        <f t="shared" si="106"/>
        <v>75</v>
      </c>
      <c r="D236" s="6">
        <v>13.4</v>
      </c>
      <c r="F236">
        <f t="shared" si="107"/>
        <v>688800</v>
      </c>
      <c r="M236" s="5">
        <f t="shared" si="104"/>
        <v>62</v>
      </c>
      <c r="N236" s="43">
        <f t="shared" si="102"/>
        <v>48519</v>
      </c>
      <c r="O236" s="31">
        <f t="shared" si="111"/>
        <v>310423.12002456374</v>
      </c>
      <c r="P236" s="31">
        <f t="shared" si="121"/>
        <v>115000</v>
      </c>
      <c r="Q236" s="30">
        <f t="shared" si="112"/>
        <v>18509.216492697808</v>
      </c>
      <c r="R236" s="31">
        <f t="shared" si="113"/>
        <v>51207.446513972965</v>
      </c>
      <c r="S236" s="47">
        <f t="shared" si="114"/>
        <v>925248.80437923688</v>
      </c>
      <c r="T236" s="30">
        <f t="shared" si="115"/>
        <v>664530.82707009849</v>
      </c>
      <c r="U236" s="31">
        <f t="shared" si="123"/>
        <v>51000</v>
      </c>
      <c r="V236" s="30">
        <f t="shared" si="116"/>
        <v>307939.82462327811</v>
      </c>
      <c r="W236" s="38">
        <f t="shared" si="118"/>
        <v>2284727.817948461</v>
      </c>
      <c r="X236" s="69">
        <f t="shared" si="124"/>
        <v>2643667.6425717394</v>
      </c>
      <c r="Y236">
        <f t="shared" si="117"/>
        <v>167</v>
      </c>
      <c r="Z236" s="30">
        <f t="shared" si="119"/>
        <v>314808.40346789133</v>
      </c>
      <c r="AA236" s="2">
        <f t="shared" ca="1" si="101"/>
        <v>24</v>
      </c>
    </row>
    <row r="237" spans="3:27" x14ac:dyDescent="0.2">
      <c r="C237">
        <f t="shared" si="106"/>
        <v>76</v>
      </c>
      <c r="D237" s="6">
        <v>12.7</v>
      </c>
      <c r="F237">
        <f t="shared" si="107"/>
        <v>688800</v>
      </c>
      <c r="M237" s="5">
        <f t="shared" si="104"/>
        <v>62.1</v>
      </c>
      <c r="N237" s="43">
        <f t="shared" si="102"/>
        <v>48549</v>
      </c>
      <c r="O237" s="31">
        <f t="shared" si="111"/>
        <v>313163.61712473776</v>
      </c>
      <c r="P237" s="31">
        <f t="shared" si="121"/>
        <v>115000</v>
      </c>
      <c r="Q237" s="30">
        <f t="shared" si="112"/>
        <v>18640.323442854416</v>
      </c>
      <c r="R237" s="31">
        <f t="shared" si="113"/>
        <v>51570.165926780275</v>
      </c>
      <c r="S237" s="47">
        <f t="shared" si="114"/>
        <v>931802.65007692319</v>
      </c>
      <c r="T237" s="30">
        <f t="shared" si="115"/>
        <v>669237.92042851169</v>
      </c>
      <c r="U237" s="31">
        <f t="shared" si="123"/>
        <v>51000</v>
      </c>
      <c r="V237" s="30">
        <f t="shared" si="116"/>
        <v>310479.39838102629</v>
      </c>
      <c r="W237" s="38">
        <f t="shared" si="118"/>
        <v>2302036.3066589297</v>
      </c>
      <c r="X237" s="69">
        <f t="shared" si="124"/>
        <v>2663515.7050399561</v>
      </c>
      <c r="Y237">
        <f t="shared" si="117"/>
        <v>167</v>
      </c>
      <c r="Z237" s="30">
        <f t="shared" si="119"/>
        <v>317621.62965912221</v>
      </c>
      <c r="AA237" s="2">
        <f t="shared" ca="1" si="101"/>
        <v>24</v>
      </c>
    </row>
    <row r="238" spans="3:27" x14ac:dyDescent="0.2">
      <c r="C238">
        <f t="shared" si="106"/>
        <v>77</v>
      </c>
      <c r="D238" s="6">
        <v>12.1</v>
      </c>
      <c r="F238">
        <f t="shared" si="107"/>
        <v>688800</v>
      </c>
      <c r="M238" s="5">
        <f t="shared" si="104"/>
        <v>62.2</v>
      </c>
      <c r="N238" s="43">
        <f t="shared" si="102"/>
        <v>48580</v>
      </c>
      <c r="O238" s="31">
        <f t="shared" si="111"/>
        <v>315923.52607937134</v>
      </c>
      <c r="P238" s="31">
        <f t="shared" ref="P238" si="125">IF(M238&gt;50,MAX(P237,P226+$J$13),MAX(P237,P226+$I$13))</f>
        <v>121500</v>
      </c>
      <c r="Q238" s="30">
        <f t="shared" si="112"/>
        <v>18772.359067241301</v>
      </c>
      <c r="R238" s="31">
        <f t="shared" si="113"/>
        <v>51935.454602094971</v>
      </c>
      <c r="S238" s="47">
        <f t="shared" si="114"/>
        <v>938402.9188483014</v>
      </c>
      <c r="T238" s="30">
        <f t="shared" si="115"/>
        <v>673978.35569821368</v>
      </c>
      <c r="U238" s="31">
        <f t="shared" si="123"/>
        <v>51000</v>
      </c>
      <c r="V238" s="30">
        <f t="shared" si="116"/>
        <v>313036.96078622522</v>
      </c>
      <c r="W238" s="38">
        <f t="shared" si="118"/>
        <v>2319467.39716443</v>
      </c>
      <c r="X238" s="69">
        <f t="shared" si="124"/>
        <v>2683504.3579506553</v>
      </c>
      <c r="Y238">
        <f t="shared" si="117"/>
        <v>167</v>
      </c>
      <c r="Z238" s="30">
        <f t="shared" si="119"/>
        <v>320454.78286920761</v>
      </c>
      <c r="AA238" s="2">
        <f t="shared" ca="1" si="101"/>
        <v>24</v>
      </c>
    </row>
    <row r="239" spans="3:27" x14ac:dyDescent="0.2">
      <c r="C239">
        <f t="shared" si="106"/>
        <v>78</v>
      </c>
      <c r="D239" s="6">
        <v>11.4</v>
      </c>
      <c r="F239">
        <f t="shared" si="107"/>
        <v>688800</v>
      </c>
      <c r="M239" s="5">
        <f t="shared" si="104"/>
        <v>62.3</v>
      </c>
      <c r="N239" s="43">
        <f t="shared" si="102"/>
        <v>48611</v>
      </c>
      <c r="O239" s="31">
        <f t="shared" si="111"/>
        <v>318702.98438910022</v>
      </c>
      <c r="P239" s="31">
        <f t="shared" si="121"/>
        <v>121500</v>
      </c>
      <c r="Q239" s="30">
        <f t="shared" si="112"/>
        <v>18905.329943967594</v>
      </c>
      <c r="R239" s="31">
        <f t="shared" si="113"/>
        <v>52303.330738859811</v>
      </c>
      <c r="S239" s="47">
        <f t="shared" si="114"/>
        <v>945049.93952347687</v>
      </c>
      <c r="T239" s="30">
        <f t="shared" si="115"/>
        <v>678752.36905107601</v>
      </c>
      <c r="U239" s="31">
        <f t="shared" ref="U239" si="126">U238+$K$18</f>
        <v>52500</v>
      </c>
      <c r="V239" s="30">
        <f t="shared" si="116"/>
        <v>315612.63925846096</v>
      </c>
      <c r="W239" s="38">
        <f t="shared" si="118"/>
        <v>2337021.9578943448</v>
      </c>
      <c r="X239" s="69">
        <f t="shared" si="124"/>
        <v>2705134.5971528059</v>
      </c>
      <c r="Y239">
        <f t="shared" si="117"/>
        <v>167</v>
      </c>
      <c r="Z239" s="30">
        <f t="shared" si="119"/>
        <v>323308.00424786448</v>
      </c>
      <c r="AA239" s="2">
        <f t="shared" ca="1" si="101"/>
        <v>24</v>
      </c>
    </row>
    <row r="240" spans="3:27" x14ac:dyDescent="0.2">
      <c r="C240">
        <f t="shared" si="106"/>
        <v>79</v>
      </c>
      <c r="D240" s="6">
        <v>10.8</v>
      </c>
      <c r="F240">
        <f t="shared" si="107"/>
        <v>688800</v>
      </c>
      <c r="M240" s="5">
        <f t="shared" si="104"/>
        <v>62.4</v>
      </c>
      <c r="N240" s="43">
        <f t="shared" si="102"/>
        <v>48639</v>
      </c>
      <c r="O240" s="31">
        <f t="shared" si="111"/>
        <v>321502.13052852306</v>
      </c>
      <c r="P240" s="31">
        <f t="shared" si="121"/>
        <v>121500</v>
      </c>
      <c r="Q240" s="30">
        <f t="shared" si="112"/>
        <v>19039.242697737365</v>
      </c>
      <c r="R240" s="31">
        <f t="shared" si="113"/>
        <v>52673.812664926736</v>
      </c>
      <c r="S240" s="47">
        <f t="shared" si="114"/>
        <v>951744.04326176818</v>
      </c>
      <c r="T240" s="30">
        <f t="shared" si="115"/>
        <v>688987.09514272935</v>
      </c>
      <c r="U240" s="31">
        <f t="shared" ref="U240:U250" si="127">U239</f>
        <v>52500</v>
      </c>
      <c r="V240" s="30">
        <f t="shared" si="116"/>
        <v>318206.56211987505</v>
      </c>
      <c r="W240" s="38">
        <f t="shared" si="118"/>
        <v>2360127.7602403047</v>
      </c>
      <c r="X240" s="69">
        <f t="shared" si="124"/>
        <v>2730834.3223601799</v>
      </c>
      <c r="Y240">
        <f t="shared" si="117"/>
        <v>167</v>
      </c>
      <c r="Z240" s="30">
        <f t="shared" si="119"/>
        <v>326181.43594462017</v>
      </c>
      <c r="AA240" s="2">
        <f t="shared" ca="1" si="101"/>
        <v>24</v>
      </c>
    </row>
    <row r="241" spans="3:27" x14ac:dyDescent="0.2">
      <c r="C241">
        <f t="shared" si="106"/>
        <v>80</v>
      </c>
      <c r="D241" s="6">
        <v>10.199999999999999</v>
      </c>
      <c r="F241">
        <f t="shared" si="107"/>
        <v>688800</v>
      </c>
      <c r="M241" s="5">
        <f t="shared" si="104"/>
        <v>62.5</v>
      </c>
      <c r="N241" s="43">
        <f t="shared" si="102"/>
        <v>48670</v>
      </c>
      <c r="O241" s="31">
        <f t="shared" si="111"/>
        <v>324321.1039531001</v>
      </c>
      <c r="P241" s="31">
        <f t="shared" si="121"/>
        <v>121500</v>
      </c>
      <c r="Q241" s="30">
        <f t="shared" si="112"/>
        <v>19174.104000179672</v>
      </c>
      <c r="R241" s="31">
        <f t="shared" si="113"/>
        <v>53046.91883796997</v>
      </c>
      <c r="S241" s="47">
        <f t="shared" si="114"/>
        <v>958485.56356820569</v>
      </c>
      <c r="T241" s="30">
        <f t="shared" si="115"/>
        <v>693867.4203999904</v>
      </c>
      <c r="U241" s="31">
        <f t="shared" si="127"/>
        <v>52500</v>
      </c>
      <c r="V241" s="30">
        <f t="shared" si="116"/>
        <v>320818.8586015575</v>
      </c>
      <c r="W241" s="38">
        <f t="shared" si="118"/>
        <v>2377970.3318753405</v>
      </c>
      <c r="X241" s="69">
        <f t="shared" si="124"/>
        <v>2751289.1904768981</v>
      </c>
      <c r="Y241">
        <f t="shared" si="117"/>
        <v>167</v>
      </c>
      <c r="Z241" s="30">
        <f t="shared" si="119"/>
        <v>329075.22111589456</v>
      </c>
      <c r="AA241" s="2">
        <f t="shared" ca="1" si="101"/>
        <v>24</v>
      </c>
    </row>
    <row r="242" spans="3:27" x14ac:dyDescent="0.2">
      <c r="C242">
        <f t="shared" si="106"/>
        <v>81</v>
      </c>
      <c r="D242" s="6">
        <v>9.6999999999999993</v>
      </c>
      <c r="F242">
        <f t="shared" si="107"/>
        <v>688800</v>
      </c>
      <c r="M242" s="5">
        <f t="shared" si="104"/>
        <v>62.5</v>
      </c>
      <c r="N242" s="43">
        <f t="shared" si="102"/>
        <v>48700</v>
      </c>
      <c r="O242" s="31">
        <f t="shared" si="111"/>
        <v>327160.04510610126</v>
      </c>
      <c r="P242" s="31">
        <f t="shared" si="121"/>
        <v>121500</v>
      </c>
      <c r="Q242" s="30">
        <f t="shared" si="112"/>
        <v>19309.920570180944</v>
      </c>
      <c r="R242" s="31">
        <f t="shared" si="113"/>
        <v>53422.667846405588</v>
      </c>
      <c r="S242" s="47">
        <f t="shared" si="114"/>
        <v>965274.83631014719</v>
      </c>
      <c r="T242" s="30">
        <f t="shared" si="115"/>
        <v>698782.31462782365</v>
      </c>
      <c r="U242" s="31">
        <f t="shared" si="127"/>
        <v>52500</v>
      </c>
      <c r="V242" s="30">
        <f t="shared" si="116"/>
        <v>323449.65884998516</v>
      </c>
      <c r="W242" s="38">
        <f t="shared" si="118"/>
        <v>2395939.2883927906</v>
      </c>
      <c r="X242" s="69">
        <f t="shared" si="124"/>
        <v>2771888.9472427759</v>
      </c>
      <c r="Y242">
        <f t="shared" si="117"/>
        <v>167</v>
      </c>
      <c r="Z242" s="30">
        <f t="shared" si="119"/>
        <v>331989.50393213209</v>
      </c>
      <c r="AA242" s="2">
        <f t="shared" ca="1" si="101"/>
        <v>24</v>
      </c>
    </row>
    <row r="243" spans="3:27" x14ac:dyDescent="0.2">
      <c r="C243">
        <f t="shared" si="106"/>
        <v>82</v>
      </c>
      <c r="D243" s="6">
        <v>9.1</v>
      </c>
      <c r="F243">
        <f t="shared" si="107"/>
        <v>688800</v>
      </c>
      <c r="M243" s="5">
        <f t="shared" si="104"/>
        <v>62.6</v>
      </c>
      <c r="N243" s="43">
        <f t="shared" si="102"/>
        <v>48731</v>
      </c>
      <c r="O243" s="31">
        <f t="shared" si="111"/>
        <v>330019.09542560281</v>
      </c>
      <c r="P243" s="31">
        <f t="shared" si="121"/>
        <v>121500</v>
      </c>
      <c r="Q243" s="30">
        <f t="shared" si="112"/>
        <v>19446.699174219724</v>
      </c>
      <c r="R243" s="31">
        <f t="shared" si="113"/>
        <v>53801.078410317627</v>
      </c>
      <c r="S243" s="47">
        <f t="shared" si="114"/>
        <v>972112.19973401073</v>
      </c>
      <c r="T243" s="30">
        <f t="shared" si="115"/>
        <v>703732.02268977079</v>
      </c>
      <c r="U243" s="31">
        <f t="shared" si="127"/>
        <v>52500</v>
      </c>
      <c r="V243" s="30">
        <f t="shared" si="116"/>
        <v>326099.09393350588</v>
      </c>
      <c r="W243" s="38">
        <f t="shared" si="118"/>
        <v>2414035.5250189062</v>
      </c>
      <c r="X243" s="69">
        <f t="shared" si="124"/>
        <v>2792634.6189524122</v>
      </c>
      <c r="Y243">
        <f t="shared" si="117"/>
        <v>167</v>
      </c>
      <c r="Z243" s="30">
        <f t="shared" si="119"/>
        <v>334924.42958498467</v>
      </c>
      <c r="AA243" s="2">
        <f t="shared" ca="1" si="101"/>
        <v>24</v>
      </c>
    </row>
    <row r="244" spans="3:27" x14ac:dyDescent="0.2">
      <c r="C244">
        <f t="shared" si="106"/>
        <v>83</v>
      </c>
      <c r="D244" s="6">
        <v>8.6</v>
      </c>
      <c r="F244">
        <f t="shared" si="107"/>
        <v>688800</v>
      </c>
      <c r="M244" s="5">
        <f t="shared" si="104"/>
        <v>62.7</v>
      </c>
      <c r="N244" s="43">
        <f t="shared" si="102"/>
        <v>48761</v>
      </c>
      <c r="O244" s="31">
        <f t="shared" si="111"/>
        <v>332898.39735153416</v>
      </c>
      <c r="P244" s="31">
        <f t="shared" si="121"/>
        <v>121500</v>
      </c>
      <c r="Q244" s="30">
        <f t="shared" si="112"/>
        <v>19584.446626703779</v>
      </c>
      <c r="R244" s="31">
        <f t="shared" si="113"/>
        <v>54182.169382390712</v>
      </c>
      <c r="S244" s="47">
        <f t="shared" si="114"/>
        <v>978997.99448212667</v>
      </c>
      <c r="T244" s="30">
        <f t="shared" si="115"/>
        <v>708716.79118382337</v>
      </c>
      <c r="U244" s="31">
        <f t="shared" si="127"/>
        <v>52500</v>
      </c>
      <c r="V244" s="30">
        <f t="shared" si="116"/>
        <v>328767.29584886821</v>
      </c>
      <c r="W244" s="38">
        <f t="shared" si="118"/>
        <v>2432259.9433211237</v>
      </c>
      <c r="X244" s="69">
        <f t="shared" si="124"/>
        <v>2813527.239169992</v>
      </c>
      <c r="Y244">
        <f t="shared" si="117"/>
        <v>167</v>
      </c>
      <c r="Z244" s="30">
        <f t="shared" si="119"/>
        <v>337880.14429454494</v>
      </c>
      <c r="AA244" s="2">
        <f t="shared" ca="1" si="101"/>
        <v>24</v>
      </c>
    </row>
    <row r="245" spans="3:27" x14ac:dyDescent="0.2">
      <c r="C245">
        <f t="shared" si="106"/>
        <v>84</v>
      </c>
      <c r="D245" s="6">
        <v>8.1</v>
      </c>
      <c r="F245">
        <f t="shared" si="107"/>
        <v>688800</v>
      </c>
      <c r="M245" s="5">
        <f t="shared" si="104"/>
        <v>62.8</v>
      </c>
      <c r="N245" s="43">
        <f t="shared" si="102"/>
        <v>48792</v>
      </c>
      <c r="O245" s="31">
        <f t="shared" si="111"/>
        <v>335798.09433277423</v>
      </c>
      <c r="P245" s="31">
        <f t="shared" si="121"/>
        <v>121500</v>
      </c>
      <c r="Q245" s="30">
        <f t="shared" si="112"/>
        <v>19723.169790309596</v>
      </c>
      <c r="R245" s="31">
        <f t="shared" si="113"/>
        <v>54565.959748849309</v>
      </c>
      <c r="S245" s="47">
        <f t="shared" si="114"/>
        <v>985932.56360970845</v>
      </c>
      <c r="T245" s="30">
        <f t="shared" si="115"/>
        <v>713736.86845470883</v>
      </c>
      <c r="U245" s="31">
        <f t="shared" si="127"/>
        <v>52500</v>
      </c>
      <c r="V245" s="30">
        <f t="shared" si="116"/>
        <v>331454.39752779767</v>
      </c>
      <c r="W245" s="38">
        <f t="shared" si="118"/>
        <v>2450613.451252982</v>
      </c>
      <c r="X245" s="69">
        <f t="shared" si="124"/>
        <v>2834567.8487807796</v>
      </c>
      <c r="Y245">
        <f t="shared" si="117"/>
        <v>167</v>
      </c>
      <c r="Z245" s="30">
        <f t="shared" si="119"/>
        <v>340856.79531663127</v>
      </c>
      <c r="AA245" s="2">
        <f t="shared" ca="1" si="101"/>
        <v>24</v>
      </c>
    </row>
    <row r="246" spans="3:27" x14ac:dyDescent="0.2">
      <c r="C246">
        <f t="shared" si="106"/>
        <v>85</v>
      </c>
      <c r="D246" s="6">
        <v>7.6</v>
      </c>
      <c r="F246">
        <f t="shared" si="107"/>
        <v>688800</v>
      </c>
      <c r="M246" s="5">
        <f t="shared" si="104"/>
        <v>62.9</v>
      </c>
      <c r="N246" s="43">
        <f t="shared" si="102"/>
        <v>48823</v>
      </c>
      <c r="O246" s="31">
        <f t="shared" si="111"/>
        <v>338718.33083429805</v>
      </c>
      <c r="P246" s="31">
        <f t="shared" si="121"/>
        <v>121500</v>
      </c>
      <c r="Q246" s="30">
        <f t="shared" si="112"/>
        <v>19862.875576324288</v>
      </c>
      <c r="R246" s="31">
        <f t="shared" si="113"/>
        <v>54952.468630403659</v>
      </c>
      <c r="S246" s="47">
        <f t="shared" si="114"/>
        <v>992916.25260194391</v>
      </c>
      <c r="T246" s="30">
        <f t="shared" si="115"/>
        <v>718792.50460626301</v>
      </c>
      <c r="U246" s="31">
        <f t="shared" si="127"/>
        <v>52500</v>
      </c>
      <c r="V246" s="30">
        <f t="shared" si="116"/>
        <v>334160.53284361953</v>
      </c>
      <c r="W246" s="38">
        <f t="shared" si="118"/>
        <v>2469096.963199357</v>
      </c>
      <c r="X246" s="69">
        <f t="shared" si="124"/>
        <v>2855757.4960429766</v>
      </c>
      <c r="Y246">
        <f t="shared" si="117"/>
        <v>167</v>
      </c>
      <c r="Z246" s="30">
        <f t="shared" si="119"/>
        <v>343854.53095012403</v>
      </c>
      <c r="AA246" s="2">
        <f t="shared" ca="1" si="101"/>
        <v>24</v>
      </c>
    </row>
    <row r="247" spans="3:27" x14ac:dyDescent="0.2">
      <c r="C247">
        <f t="shared" si="106"/>
        <v>86</v>
      </c>
      <c r="D247" s="6">
        <v>7.1</v>
      </c>
      <c r="F247">
        <f t="shared" si="107"/>
        <v>688800</v>
      </c>
      <c r="M247" s="5">
        <f t="shared" si="104"/>
        <v>63</v>
      </c>
      <c r="N247" s="43">
        <f t="shared" si="102"/>
        <v>48853</v>
      </c>
      <c r="O247" s="31">
        <f t="shared" si="111"/>
        <v>341659.25234437437</v>
      </c>
      <c r="P247" s="31">
        <f t="shared" si="121"/>
        <v>121500</v>
      </c>
      <c r="Q247" s="30">
        <f t="shared" si="112"/>
        <v>20003.570944989919</v>
      </c>
      <c r="R247" s="31">
        <f t="shared" si="113"/>
        <v>55341.715283202349</v>
      </c>
      <c r="S247" s="47">
        <f t="shared" si="114"/>
        <v>999949.40939120762</v>
      </c>
      <c r="T247" s="30">
        <f t="shared" si="115"/>
        <v>723883.95151389076</v>
      </c>
      <c r="U247" s="31">
        <f t="shared" si="127"/>
        <v>52500</v>
      </c>
      <c r="V247" s="30">
        <f t="shared" si="116"/>
        <v>336885.83661792846</v>
      </c>
      <c r="W247" s="38">
        <f t="shared" si="118"/>
        <v>2487711.4000220187</v>
      </c>
      <c r="X247" s="69">
        <f t="shared" si="124"/>
        <v>2877097.2366399472</v>
      </c>
      <c r="Y247">
        <f t="shared" si="117"/>
        <v>167</v>
      </c>
      <c r="Z247" s="30">
        <f t="shared" si="119"/>
        <v>346873.50054435403</v>
      </c>
      <c r="AA247" s="2">
        <f t="shared" ca="1" si="101"/>
        <v>24</v>
      </c>
    </row>
    <row r="248" spans="3:27" x14ac:dyDescent="0.2">
      <c r="C248">
        <f t="shared" si="106"/>
        <v>87</v>
      </c>
      <c r="D248" s="6">
        <v>6.7</v>
      </c>
      <c r="F248">
        <f t="shared" si="107"/>
        <v>688800</v>
      </c>
      <c r="M248" s="5">
        <f t="shared" si="104"/>
        <v>63</v>
      </c>
      <c r="N248" s="43">
        <f t="shared" si="102"/>
        <v>48884</v>
      </c>
      <c r="O248" s="31">
        <f t="shared" si="111"/>
        <v>344621.00538181368</v>
      </c>
      <c r="P248" s="31">
        <f t="shared" si="121"/>
        <v>121500</v>
      </c>
      <c r="Q248" s="30">
        <f t="shared" si="112"/>
        <v>20145.262905850264</v>
      </c>
      <c r="R248" s="31">
        <f t="shared" si="113"/>
        <v>55733.719099791699</v>
      </c>
      <c r="S248" s="47">
        <f t="shared" si="114"/>
        <v>1007032.3843743954</v>
      </c>
      <c r="T248" s="30">
        <f t="shared" si="115"/>
        <v>729011.46283711412</v>
      </c>
      <c r="U248" s="31">
        <f t="shared" si="127"/>
        <v>52500</v>
      </c>
      <c r="V248" s="30">
        <f t="shared" si="116"/>
        <v>339630.44462730543</v>
      </c>
      <c r="W248" s="38">
        <f t="shared" si="118"/>
        <v>2506457.6891055084</v>
      </c>
      <c r="X248" s="69">
        <f t="shared" si="124"/>
        <v>2898588.1337328139</v>
      </c>
      <c r="Y248">
        <f t="shared" si="117"/>
        <v>167</v>
      </c>
      <c r="Z248" s="30">
        <f t="shared" si="119"/>
        <v>349913.8545065432</v>
      </c>
      <c r="AA248" s="2">
        <f t="shared" ca="1" si="101"/>
        <v>24</v>
      </c>
    </row>
    <row r="249" spans="3:27" x14ac:dyDescent="0.2">
      <c r="C249">
        <f t="shared" si="106"/>
        <v>88</v>
      </c>
      <c r="D249" s="6">
        <v>6.3</v>
      </c>
      <c r="F249">
        <f t="shared" si="107"/>
        <v>688800</v>
      </c>
      <c r="M249" s="5">
        <f t="shared" si="104"/>
        <v>63.1</v>
      </c>
      <c r="N249" s="43">
        <f t="shared" si="102"/>
        <v>48914</v>
      </c>
      <c r="O249" s="31">
        <f t="shared" si="111"/>
        <v>347603.73750326823</v>
      </c>
      <c r="P249" s="31">
        <f t="shared" si="121"/>
        <v>121500</v>
      </c>
      <c r="Q249" s="30">
        <f t="shared" si="112"/>
        <v>20287.958518100037</v>
      </c>
      <c r="R249" s="31">
        <f t="shared" si="113"/>
        <v>56128.49961008189</v>
      </c>
      <c r="S249" s="47">
        <f t="shared" si="114"/>
        <v>1014165.5304303806</v>
      </c>
      <c r="T249" s="30">
        <f t="shared" si="115"/>
        <v>734175.29403221037</v>
      </c>
      <c r="U249" s="31">
        <f t="shared" si="127"/>
        <v>52500</v>
      </c>
      <c r="V249" s="30">
        <f t="shared" si="116"/>
        <v>342394.49361008214</v>
      </c>
      <c r="W249" s="38">
        <f t="shared" si="118"/>
        <v>2525336.764403339</v>
      </c>
      <c r="X249" s="69">
        <f t="shared" si="124"/>
        <v>2920231.2580134212</v>
      </c>
      <c r="Y249">
        <f t="shared" si="117"/>
        <v>167</v>
      </c>
      <c r="Z249" s="30">
        <f t="shared" si="119"/>
        <v>352975.74430929788</v>
      </c>
      <c r="AA249" s="2">
        <f t="shared" ca="1" si="101"/>
        <v>24</v>
      </c>
    </row>
    <row r="250" spans="3:27" x14ac:dyDescent="0.2">
      <c r="C250">
        <f t="shared" si="106"/>
        <v>89</v>
      </c>
      <c r="D250" s="6">
        <v>5.9</v>
      </c>
      <c r="F250">
        <f t="shared" si="107"/>
        <v>688800</v>
      </c>
      <c r="M250" s="5">
        <f t="shared" si="104"/>
        <v>63.2</v>
      </c>
      <c r="N250" s="43">
        <f t="shared" si="102"/>
        <v>48945</v>
      </c>
      <c r="O250" s="31">
        <f t="shared" si="111"/>
        <v>350607.59731058305</v>
      </c>
      <c r="P250" s="31">
        <f t="shared" ref="P250" si="128">IF(M250&gt;50,MAX(P249,P238+$J$13),MAX(P249,P238+$I$13))</f>
        <v>128000</v>
      </c>
      <c r="Q250" s="30">
        <f t="shared" si="112"/>
        <v>20431.664890936579</v>
      </c>
      <c r="R250" s="31">
        <f t="shared" si="113"/>
        <v>56526.076482319972</v>
      </c>
      <c r="S250" s="47">
        <f t="shared" si="114"/>
        <v>1021349.2029375958</v>
      </c>
      <c r="T250" s="30">
        <f t="shared" si="115"/>
        <v>739375.70236493857</v>
      </c>
      <c r="U250" s="31">
        <f t="shared" si="127"/>
        <v>52500</v>
      </c>
      <c r="V250" s="30">
        <f t="shared" si="116"/>
        <v>345178.12127315352</v>
      </c>
      <c r="W250" s="38">
        <f t="shared" si="118"/>
        <v>2544349.5664845291</v>
      </c>
      <c r="X250" s="69">
        <f t="shared" si="124"/>
        <v>2942027.6877576825</v>
      </c>
      <c r="Y250">
        <f t="shared" si="117"/>
        <v>167</v>
      </c>
      <c r="Z250" s="30">
        <f t="shared" si="119"/>
        <v>356059.32249815541</v>
      </c>
      <c r="AA250" s="2">
        <f t="shared" ca="1" si="101"/>
        <v>24</v>
      </c>
    </row>
    <row r="251" spans="3:27" x14ac:dyDescent="0.2">
      <c r="C251">
        <f t="shared" si="106"/>
        <v>90</v>
      </c>
      <c r="D251" s="6">
        <v>5.5</v>
      </c>
      <c r="F251">
        <f t="shared" si="107"/>
        <v>688800</v>
      </c>
      <c r="M251" s="5">
        <f t="shared" si="104"/>
        <v>63.3</v>
      </c>
      <c r="N251" s="43">
        <f t="shared" si="102"/>
        <v>48976</v>
      </c>
      <c r="O251" s="31">
        <f t="shared" si="111"/>
        <v>353632.7344581997</v>
      </c>
      <c r="P251" s="31">
        <f t="shared" si="121"/>
        <v>128000</v>
      </c>
      <c r="Q251" s="30">
        <f t="shared" si="112"/>
        <v>20576.389183914045</v>
      </c>
      <c r="R251" s="31">
        <f t="shared" si="113"/>
        <v>56926.46952406974</v>
      </c>
      <c r="S251" s="47">
        <f t="shared" si="114"/>
        <v>1028583.7597917371</v>
      </c>
      <c r="T251" s="30">
        <f t="shared" si="115"/>
        <v>744612.94692335685</v>
      </c>
      <c r="U251" s="31">
        <f t="shared" ref="U251" si="129">U250+$K$18</f>
        <v>54000</v>
      </c>
      <c r="V251" s="30">
        <f t="shared" si="116"/>
        <v>347981.46629883832</v>
      </c>
      <c r="W251" s="38">
        <f t="shared" si="118"/>
        <v>2563497.0425804616</v>
      </c>
      <c r="X251" s="69">
        <f t="shared" si="124"/>
        <v>2965478.5088792997</v>
      </c>
      <c r="Y251">
        <f t="shared" si="117"/>
        <v>167</v>
      </c>
      <c r="Z251" s="30">
        <f t="shared" si="119"/>
        <v>359164.74269918399</v>
      </c>
      <c r="AA251" s="2">
        <f t="shared" ca="1" si="101"/>
        <v>24</v>
      </c>
    </row>
    <row r="252" spans="3:27" x14ac:dyDescent="0.2">
      <c r="C252">
        <f t="shared" si="106"/>
        <v>91</v>
      </c>
      <c r="D252" s="6">
        <v>5.2</v>
      </c>
      <c r="F252">
        <f t="shared" si="107"/>
        <v>688800</v>
      </c>
      <c r="M252" s="5">
        <f t="shared" si="104"/>
        <v>63.4</v>
      </c>
      <c r="N252" s="43">
        <f t="shared" si="102"/>
        <v>49004</v>
      </c>
      <c r="O252" s="31">
        <f t="shared" si="111"/>
        <v>356679.29966061196</v>
      </c>
      <c r="P252" s="31">
        <f t="shared" si="121"/>
        <v>128000</v>
      </c>
      <c r="Q252" s="30">
        <f t="shared" si="112"/>
        <v>20722.138607300101</v>
      </c>
      <c r="R252" s="31">
        <f t="shared" si="113"/>
        <v>57329.698683198571</v>
      </c>
      <c r="S252" s="47">
        <f t="shared" si="114"/>
        <v>1035869.5614235952</v>
      </c>
      <c r="T252" s="30">
        <f t="shared" si="115"/>
        <v>755395.58889376861</v>
      </c>
      <c r="U252" s="31">
        <f t="shared" ref="U252:U262" si="130">U251</f>
        <v>54000</v>
      </c>
      <c r="V252" s="30">
        <f t="shared" si="116"/>
        <v>350804.66835178842</v>
      </c>
      <c r="W252" s="38">
        <f t="shared" si="118"/>
        <v>2588288.4468951114</v>
      </c>
      <c r="X252" s="69">
        <f t="shared" si="124"/>
        <v>2993093.1152468999</v>
      </c>
      <c r="Y252">
        <f t="shared" si="117"/>
        <v>167</v>
      </c>
      <c r="Z252" s="30">
        <f t="shared" si="119"/>
        <v>362292.15962663654</v>
      </c>
      <c r="AA252" s="2">
        <f t="shared" ca="1" si="101"/>
        <v>24</v>
      </c>
    </row>
    <row r="253" spans="3:27" x14ac:dyDescent="0.2">
      <c r="C253">
        <f t="shared" si="106"/>
        <v>92</v>
      </c>
      <c r="D253" s="6">
        <v>4.9000000000000004</v>
      </c>
      <c r="F253">
        <f t="shared" si="107"/>
        <v>688800</v>
      </c>
      <c r="M253" s="5">
        <f t="shared" si="104"/>
        <v>63.5</v>
      </c>
      <c r="N253" s="43">
        <f t="shared" si="102"/>
        <v>49035</v>
      </c>
      <c r="O253" s="31">
        <f t="shared" si="111"/>
        <v>359747.44469987461</v>
      </c>
      <c r="P253" s="31">
        <f t="shared" si="121"/>
        <v>128000</v>
      </c>
      <c r="Q253" s="30">
        <f t="shared" si="112"/>
        <v>20868.920422435145</v>
      </c>
      <c r="R253" s="31">
        <f t="shared" si="113"/>
        <v>57735.784048871225</v>
      </c>
      <c r="S253" s="47">
        <f t="shared" si="114"/>
        <v>1043206.9708170124</v>
      </c>
      <c r="T253" s="30">
        <f t="shared" si="115"/>
        <v>760746.30764843279</v>
      </c>
      <c r="U253" s="31">
        <f t="shared" si="130"/>
        <v>54000</v>
      </c>
      <c r="V253" s="30">
        <f t="shared" si="116"/>
        <v>353647.86808594689</v>
      </c>
      <c r="W253" s="38">
        <f t="shared" si="118"/>
        <v>2607747.1567272847</v>
      </c>
      <c r="X253" s="69">
        <f t="shared" si="124"/>
        <v>3015395.0248132315</v>
      </c>
      <c r="Y253">
        <f t="shared" si="117"/>
        <v>167</v>
      </c>
      <c r="Z253" s="30">
        <f t="shared" si="119"/>
        <v>365441.72909065854</v>
      </c>
      <c r="AA253" s="2">
        <f t="shared" ca="1" si="101"/>
        <v>24</v>
      </c>
    </row>
    <row r="254" spans="3:27" x14ac:dyDescent="0.2">
      <c r="C254">
        <f t="shared" si="106"/>
        <v>93</v>
      </c>
      <c r="D254" s="6">
        <v>4.5999999999999996</v>
      </c>
      <c r="F254">
        <f t="shared" si="107"/>
        <v>688800</v>
      </c>
      <c r="M254" s="5">
        <f t="shared" si="104"/>
        <v>63.5</v>
      </c>
      <c r="N254" s="43">
        <f t="shared" si="102"/>
        <v>49065</v>
      </c>
      <c r="O254" s="31">
        <f t="shared" si="111"/>
        <v>362837.32243316539</v>
      </c>
      <c r="P254" s="31">
        <f t="shared" si="121"/>
        <v>128000</v>
      </c>
      <c r="Q254" s="30">
        <f t="shared" si="112"/>
        <v>21016.741942094061</v>
      </c>
      <c r="R254" s="31">
        <f t="shared" si="113"/>
        <v>58144.745852550732</v>
      </c>
      <c r="S254" s="47">
        <f t="shared" si="114"/>
        <v>1050596.3535269662</v>
      </c>
      <c r="T254" s="30">
        <f t="shared" si="115"/>
        <v>766134.92732760916</v>
      </c>
      <c r="U254" s="31">
        <f t="shared" si="130"/>
        <v>54000</v>
      </c>
      <c r="V254" s="30">
        <f t="shared" si="116"/>
        <v>356511.20715155563</v>
      </c>
      <c r="W254" s="38">
        <f t="shared" si="118"/>
        <v>2627343.6990874363</v>
      </c>
      <c r="X254" s="69">
        <f t="shared" si="124"/>
        <v>3037854.9062389918</v>
      </c>
      <c r="Y254">
        <f t="shared" si="117"/>
        <v>167</v>
      </c>
      <c r="Z254" s="30">
        <f t="shared" si="119"/>
        <v>368613.60800505069</v>
      </c>
      <c r="AA254" s="2">
        <f t="shared" ca="1" si="101"/>
        <v>24</v>
      </c>
    </row>
    <row r="255" spans="3:27" x14ac:dyDescent="0.2">
      <c r="C255">
        <f t="shared" si="106"/>
        <v>94</v>
      </c>
      <c r="D255" s="6">
        <v>4.3</v>
      </c>
      <c r="F255">
        <f t="shared" si="107"/>
        <v>688800</v>
      </c>
      <c r="M255" s="5">
        <f t="shared" si="104"/>
        <v>63.6</v>
      </c>
      <c r="N255" s="43">
        <f t="shared" si="102"/>
        <v>49096</v>
      </c>
      <c r="O255" s="31">
        <f t="shared" si="111"/>
        <v>365949.08680040034</v>
      </c>
      <c r="P255" s="31">
        <f t="shared" si="121"/>
        <v>128000</v>
      </c>
      <c r="Q255" s="30">
        <f t="shared" si="112"/>
        <v>21165.610530850561</v>
      </c>
      <c r="R255" s="31">
        <f t="shared" si="113"/>
        <v>58556.604469006299</v>
      </c>
      <c r="S255" s="47">
        <f t="shared" si="114"/>
        <v>1058038.0776977821</v>
      </c>
      <c r="T255" s="30">
        <f t="shared" si="115"/>
        <v>771561.71639617975</v>
      </c>
      <c r="U255" s="31">
        <f t="shared" si="130"/>
        <v>54000</v>
      </c>
      <c r="V255" s="30">
        <f t="shared" si="116"/>
        <v>359394.82820221246</v>
      </c>
      <c r="W255" s="38">
        <f t="shared" si="118"/>
        <v>2647079.0502893059</v>
      </c>
      <c r="X255" s="69">
        <f t="shared" si="124"/>
        <v>3060473.8784915181</v>
      </c>
      <c r="Y255">
        <f t="shared" si="117"/>
        <v>167</v>
      </c>
      <c r="Z255" s="30">
        <f t="shared" si="119"/>
        <v>371807.95439508645</v>
      </c>
      <c r="AA255" s="2">
        <f t="shared" ca="1" si="101"/>
        <v>24</v>
      </c>
    </row>
    <row r="256" spans="3:27" x14ac:dyDescent="0.2">
      <c r="C256">
        <f t="shared" si="106"/>
        <v>95</v>
      </c>
      <c r="D256" s="6">
        <v>4.0999999999999996</v>
      </c>
      <c r="F256">
        <f t="shared" si="107"/>
        <v>688800</v>
      </c>
      <c r="M256" s="5">
        <f t="shared" si="104"/>
        <v>63.7</v>
      </c>
      <c r="N256" s="43">
        <f t="shared" si="102"/>
        <v>49126</v>
      </c>
      <c r="O256" s="31">
        <f t="shared" si="111"/>
        <v>369082.89283190318</v>
      </c>
      <c r="P256" s="31">
        <f t="shared" si="121"/>
        <v>128000</v>
      </c>
      <c r="Q256" s="30">
        <f t="shared" si="112"/>
        <v>21315.533605444085</v>
      </c>
      <c r="R256" s="31">
        <f t="shared" si="113"/>
        <v>58971.38041732843</v>
      </c>
      <c r="S256" s="47">
        <f t="shared" si="114"/>
        <v>1065532.5140814746</v>
      </c>
      <c r="T256" s="30">
        <f t="shared" si="115"/>
        <v>777026.94522065273</v>
      </c>
      <c r="U256" s="31">
        <f t="shared" si="130"/>
        <v>54000</v>
      </c>
      <c r="V256" s="30">
        <f t="shared" si="116"/>
        <v>362298.87490197812</v>
      </c>
      <c r="W256" s="38">
        <f t="shared" si="118"/>
        <v>2666954.1935621877</v>
      </c>
      <c r="X256" s="69">
        <f t="shared" si="124"/>
        <v>3083253.068464166</v>
      </c>
      <c r="Y256">
        <f t="shared" si="117"/>
        <v>167</v>
      </c>
      <c r="Z256" s="30">
        <f t="shared" si="119"/>
        <v>375024.92740538495</v>
      </c>
      <c r="AA256" s="2">
        <f t="shared" ca="1" si="101"/>
        <v>24</v>
      </c>
    </row>
    <row r="257" spans="3:27" x14ac:dyDescent="0.2">
      <c r="C257">
        <f t="shared" si="106"/>
        <v>96</v>
      </c>
      <c r="D257" s="6">
        <v>3.8</v>
      </c>
      <c r="F257">
        <f t="shared" si="107"/>
        <v>688800</v>
      </c>
      <c r="M257" s="5">
        <f t="shared" si="104"/>
        <v>63.8</v>
      </c>
      <c r="N257" s="43">
        <f t="shared" si="102"/>
        <v>49157</v>
      </c>
      <c r="O257" s="31">
        <f t="shared" si="111"/>
        <v>372238.89665612916</v>
      </c>
      <c r="P257" s="31">
        <f t="shared" si="121"/>
        <v>128000</v>
      </c>
      <c r="Q257" s="30">
        <f t="shared" si="112"/>
        <v>21466.518635149314</v>
      </c>
      <c r="R257" s="31">
        <f t="shared" si="113"/>
        <v>59389.094361951175</v>
      </c>
      <c r="S257" s="47">
        <f t="shared" si="114"/>
        <v>1073080.0360562184</v>
      </c>
      <c r="T257" s="30">
        <f t="shared" si="115"/>
        <v>782530.88608263235</v>
      </c>
      <c r="U257" s="31">
        <f t="shared" si="130"/>
        <v>54000</v>
      </c>
      <c r="V257" s="30">
        <f t="shared" si="116"/>
        <v>365223.4919325338</v>
      </c>
      <c r="W257" s="38">
        <f t="shared" si="118"/>
        <v>2686970.1190999201</v>
      </c>
      <c r="X257" s="69">
        <f t="shared" si="124"/>
        <v>3106193.6110324538</v>
      </c>
      <c r="Y257">
        <f t="shared" si="117"/>
        <v>167</v>
      </c>
      <c r="Z257" s="30">
        <f t="shared" si="119"/>
        <v>378264.68730783975</v>
      </c>
      <c r="AA257" s="2">
        <f t="shared" ca="1" si="101"/>
        <v>24</v>
      </c>
    </row>
    <row r="258" spans="3:27" x14ac:dyDescent="0.2">
      <c r="C258">
        <f t="shared" si="106"/>
        <v>97</v>
      </c>
      <c r="D258" s="6">
        <v>3.6</v>
      </c>
      <c r="F258">
        <f t="shared" si="107"/>
        <v>688800</v>
      </c>
      <c r="M258" s="5">
        <f t="shared" si="104"/>
        <v>63.9</v>
      </c>
      <c r="N258" s="43">
        <f t="shared" si="102"/>
        <v>49188</v>
      </c>
      <c r="O258" s="31">
        <f t="shared" si="111"/>
        <v>375417.25550744345</v>
      </c>
      <c r="P258" s="31">
        <f t="shared" si="121"/>
        <v>128000</v>
      </c>
      <c r="Q258" s="30">
        <f t="shared" si="112"/>
        <v>21618.573142148289</v>
      </c>
      <c r="R258" s="31">
        <f t="shared" si="113"/>
        <v>59809.767113681664</v>
      </c>
      <c r="S258" s="47">
        <f t="shared" si="114"/>
        <v>1080681.0196449501</v>
      </c>
      <c r="T258" s="30">
        <f t="shared" si="115"/>
        <v>788073.81319238432</v>
      </c>
      <c r="U258" s="31">
        <f t="shared" si="130"/>
        <v>54000</v>
      </c>
      <c r="V258" s="30">
        <f t="shared" si="116"/>
        <v>368168.82500038925</v>
      </c>
      <c r="W258" s="38">
        <f t="shared" si="118"/>
        <v>2707127.8241102109</v>
      </c>
      <c r="X258" s="69">
        <f t="shared" si="124"/>
        <v>3129296.6491106004</v>
      </c>
      <c r="Y258">
        <f t="shared" si="117"/>
        <v>167</v>
      </c>
      <c r="Z258" s="30">
        <f t="shared" si="119"/>
        <v>381527.39550960361</v>
      </c>
      <c r="AA258" s="2">
        <f t="shared" ca="1" si="101"/>
        <v>24</v>
      </c>
    </row>
    <row r="259" spans="3:27" x14ac:dyDescent="0.2">
      <c r="C259">
        <f t="shared" si="106"/>
        <v>98</v>
      </c>
      <c r="D259" s="6">
        <v>3.4</v>
      </c>
      <c r="F259">
        <f t="shared" si="107"/>
        <v>688800</v>
      </c>
      <c r="M259" s="5">
        <f t="shared" si="104"/>
        <v>64</v>
      </c>
      <c r="N259" s="43">
        <f t="shared" si="102"/>
        <v>49218</v>
      </c>
      <c r="O259" s="31">
        <f t="shared" si="111"/>
        <v>378618.12773395452</v>
      </c>
      <c r="P259" s="31">
        <f t="shared" si="121"/>
        <v>128000</v>
      </c>
      <c r="Q259" s="30">
        <f t="shared" si="112"/>
        <v>21771.704701905172</v>
      </c>
      <c r="R259" s="31">
        <f t="shared" si="113"/>
        <v>60233.419630736906</v>
      </c>
      <c r="S259" s="47">
        <f t="shared" si="114"/>
        <v>1088335.8435341017</v>
      </c>
      <c r="T259" s="30">
        <f t="shared" si="115"/>
        <v>793656.00270249706</v>
      </c>
      <c r="U259" s="31">
        <f t="shared" si="130"/>
        <v>54000</v>
      </c>
      <c r="V259" s="30">
        <f t="shared" si="116"/>
        <v>371135.02084414201</v>
      </c>
      <c r="W259" s="38">
        <f t="shared" si="118"/>
        <v>2727428.3128643255</v>
      </c>
      <c r="X259" s="69">
        <f t="shared" si="124"/>
        <v>3152563.3337084674</v>
      </c>
      <c r="Y259">
        <f t="shared" si="117"/>
        <v>167</v>
      </c>
      <c r="Z259" s="30">
        <f t="shared" si="119"/>
        <v>384813.21456112992</v>
      </c>
      <c r="AA259" s="2">
        <f t="shared" ca="1" si="101"/>
        <v>24</v>
      </c>
    </row>
    <row r="260" spans="3:27" x14ac:dyDescent="0.2">
      <c r="C260">
        <f t="shared" si="106"/>
        <v>99</v>
      </c>
      <c r="D260" s="6">
        <v>3.1</v>
      </c>
      <c r="F260">
        <f t="shared" si="107"/>
        <v>688800</v>
      </c>
      <c r="M260" s="5">
        <f t="shared" si="104"/>
        <v>64</v>
      </c>
      <c r="N260" s="43">
        <f t="shared" si="102"/>
        <v>49249</v>
      </c>
      <c r="O260" s="31">
        <f t="shared" si="111"/>
        <v>381841.67280540336</v>
      </c>
      <c r="P260" s="31">
        <f t="shared" si="121"/>
        <v>128000</v>
      </c>
      <c r="Q260" s="30">
        <f t="shared" si="112"/>
        <v>21925.920943543668</v>
      </c>
      <c r="R260" s="31">
        <f t="shared" si="113"/>
        <v>60660.07301978796</v>
      </c>
      <c r="S260" s="47">
        <f t="shared" si="114"/>
        <v>1096044.8890924682</v>
      </c>
      <c r="T260" s="30">
        <f t="shared" si="115"/>
        <v>799277.7327216398</v>
      </c>
      <c r="U260" s="31">
        <f t="shared" si="130"/>
        <v>54000</v>
      </c>
      <c r="V260" s="30">
        <f t="shared" si="116"/>
        <v>374122.227241788</v>
      </c>
      <c r="W260" s="38">
        <f t="shared" si="118"/>
        <v>2747872.5967471139</v>
      </c>
      <c r="X260" s="69">
        <f t="shared" si="124"/>
        <v>3175994.8239889019</v>
      </c>
      <c r="Y260">
        <f t="shared" si="117"/>
        <v>167</v>
      </c>
      <c r="Z260" s="30">
        <f t="shared" si="119"/>
        <v>388122.30816427124</v>
      </c>
      <c r="AA260" s="2">
        <f t="shared" ca="1" si="101"/>
        <v>24</v>
      </c>
    </row>
    <row r="261" spans="3:27" x14ac:dyDescent="0.2">
      <c r="C261">
        <f t="shared" si="106"/>
        <v>100</v>
      </c>
      <c r="D261" s="6">
        <v>2.9</v>
      </c>
      <c r="F261">
        <f t="shared" si="107"/>
        <v>688800</v>
      </c>
      <c r="M261" s="5">
        <f t="shared" si="104"/>
        <v>64.099999999999994</v>
      </c>
      <c r="N261" s="43">
        <f t="shared" si="102"/>
        <v>49279</v>
      </c>
      <c r="O261" s="31">
        <f t="shared" si="111"/>
        <v>385088.0513211083</v>
      </c>
      <c r="P261" s="31">
        <f t="shared" si="121"/>
        <v>128000</v>
      </c>
      <c r="Q261" s="30">
        <f t="shared" si="112"/>
        <v>22081.229550227101</v>
      </c>
      <c r="R261" s="31">
        <f t="shared" si="113"/>
        <v>61089.748537011459</v>
      </c>
      <c r="S261" s="47">
        <f t="shared" si="114"/>
        <v>1103808.5403902065</v>
      </c>
      <c r="T261" s="30">
        <f t="shared" si="115"/>
        <v>804939.28332841804</v>
      </c>
      <c r="U261" s="31">
        <f t="shared" si="130"/>
        <v>54000</v>
      </c>
      <c r="V261" s="30">
        <f t="shared" si="116"/>
        <v>377130.59301808401</v>
      </c>
      <c r="W261" s="38">
        <f t="shared" si="118"/>
        <v>2768461.6943074064</v>
      </c>
      <c r="X261" s="69">
        <f t="shared" si="124"/>
        <v>3199592.2873254903</v>
      </c>
      <c r="Y261">
        <f t="shared" si="117"/>
        <v>167</v>
      </c>
      <c r="Z261" s="30">
        <f t="shared" si="119"/>
        <v>391454.8411804348</v>
      </c>
      <c r="AA261" s="2">
        <f t="shared" ca="1" si="101"/>
        <v>24</v>
      </c>
    </row>
    <row r="262" spans="3:27" x14ac:dyDescent="0.2">
      <c r="C262">
        <f t="shared" si="106"/>
        <v>101</v>
      </c>
      <c r="D262" s="6">
        <v>2.7</v>
      </c>
      <c r="F262">
        <f t="shared" si="107"/>
        <v>688800</v>
      </c>
      <c r="M262" s="5">
        <f t="shared" si="104"/>
        <v>64.2</v>
      </c>
      <c r="N262" s="43">
        <f t="shared" si="102"/>
        <v>49310</v>
      </c>
      <c r="O262" s="31">
        <f t="shared" si="111"/>
        <v>388357.42501796619</v>
      </c>
      <c r="P262" s="31">
        <f t="shared" ref="P262" si="131">IF(M262&gt;50,MAX(P261,P250+$J$13),MAX(P261,P250+$I$13))</f>
        <v>134500</v>
      </c>
      <c r="Q262" s="30">
        <f t="shared" si="112"/>
        <v>22237.638259541211</v>
      </c>
      <c r="R262" s="31">
        <f t="shared" si="113"/>
        <v>61522.467589148626</v>
      </c>
      <c r="S262" s="47">
        <f t="shared" si="114"/>
        <v>1111627.1842179704</v>
      </c>
      <c r="T262" s="30">
        <f t="shared" si="115"/>
        <v>810640.93658532761</v>
      </c>
      <c r="U262" s="31">
        <f t="shared" si="130"/>
        <v>54000</v>
      </c>
      <c r="V262" s="30">
        <f t="shared" si="116"/>
        <v>380160.26805196208</v>
      </c>
      <c r="W262" s="38">
        <f t="shared" si="118"/>
        <v>2789196.6313087502</v>
      </c>
      <c r="X262" s="69">
        <f t="shared" si="124"/>
        <v>3223356.8993607122</v>
      </c>
      <c r="Y262">
        <f t="shared" si="117"/>
        <v>167</v>
      </c>
      <c r="Z262" s="30">
        <f t="shared" si="119"/>
        <v>394810.97963879618</v>
      </c>
      <c r="AA262" s="2">
        <f t="shared" ca="1" si="101"/>
        <v>24</v>
      </c>
    </row>
    <row r="263" spans="3:27" x14ac:dyDescent="0.2">
      <c r="C263">
        <f t="shared" si="106"/>
        <v>102</v>
      </c>
      <c r="D263" s="6">
        <v>2.5</v>
      </c>
      <c r="F263">
        <f t="shared" si="107"/>
        <v>688800</v>
      </c>
      <c r="M263" s="5">
        <f t="shared" si="104"/>
        <v>64.3</v>
      </c>
      <c r="N263" s="43">
        <f t="shared" si="102"/>
        <v>49341</v>
      </c>
      <c r="O263" s="31">
        <f t="shared" si="111"/>
        <v>391649.95677851012</v>
      </c>
      <c r="P263" s="31">
        <f t="shared" si="121"/>
        <v>134500</v>
      </c>
      <c r="Q263" s="30">
        <f t="shared" si="112"/>
        <v>22395.154863879627</v>
      </c>
      <c r="R263" s="31">
        <f t="shared" si="113"/>
        <v>61958.251734571764</v>
      </c>
      <c r="S263" s="47">
        <f t="shared" si="114"/>
        <v>1119501.210106181</v>
      </c>
      <c r="T263" s="30">
        <f t="shared" si="115"/>
        <v>816382.97655280703</v>
      </c>
      <c r="U263" s="31">
        <f t="shared" ref="U263" si="132">U262+$K$18</f>
        <v>55500</v>
      </c>
      <c r="V263" s="30">
        <f t="shared" si="116"/>
        <v>383211.4032839968</v>
      </c>
      <c r="W263" s="38">
        <f t="shared" si="118"/>
        <v>2810078.4407805209</v>
      </c>
      <c r="X263" s="69">
        <f t="shared" si="124"/>
        <v>3248789.8440645179</v>
      </c>
      <c r="Y263">
        <f t="shared" si="117"/>
        <v>167</v>
      </c>
      <c r="Z263" s="30">
        <f t="shared" si="119"/>
        <v>398190.89074457099</v>
      </c>
      <c r="AA263" s="2">
        <f t="shared" ca="1" si="101"/>
        <v>24</v>
      </c>
    </row>
    <row r="264" spans="3:27" x14ac:dyDescent="0.2">
      <c r="C264">
        <f t="shared" si="106"/>
        <v>103</v>
      </c>
      <c r="D264" s="6">
        <v>2.2999999999999998</v>
      </c>
      <c r="F264">
        <f t="shared" si="107"/>
        <v>688800</v>
      </c>
      <c r="M264" s="5">
        <f t="shared" si="104"/>
        <v>64.400000000000006</v>
      </c>
      <c r="N264" s="43">
        <f t="shared" si="102"/>
        <v>49369</v>
      </c>
      <c r="O264" s="31">
        <f t="shared" si="111"/>
        <v>394965.8106390246</v>
      </c>
      <c r="P264" s="31">
        <f t="shared" si="121"/>
        <v>134500</v>
      </c>
      <c r="Q264" s="30">
        <f t="shared" si="112"/>
        <v>22553.787210832106</v>
      </c>
      <c r="R264" s="31">
        <f t="shared" si="113"/>
        <v>62397.122684358314</v>
      </c>
      <c r="S264" s="47">
        <f t="shared" si="114"/>
        <v>1127431.0103444331</v>
      </c>
      <c r="T264" s="30">
        <f t="shared" si="115"/>
        <v>827756.61407037301</v>
      </c>
      <c r="U264" s="31">
        <f t="shared" ref="U264:U274" si="133">U263</f>
        <v>55500</v>
      </c>
      <c r="V264" s="30">
        <f t="shared" si="116"/>
        <v>386284.15072392509</v>
      </c>
      <c r="W264" s="38">
        <f t="shared" si="118"/>
        <v>2836699.0878363661</v>
      </c>
      <c r="X264" s="69">
        <f t="shared" si="124"/>
        <v>3278483.238560291</v>
      </c>
      <c r="Y264">
        <f t="shared" si="117"/>
        <v>167</v>
      </c>
      <c r="Z264" s="30">
        <f t="shared" si="119"/>
        <v>401594.74288734503</v>
      </c>
      <c r="AA264" s="2">
        <f t="shared" ca="1" si="101"/>
        <v>24</v>
      </c>
    </row>
    <row r="265" spans="3:27" x14ac:dyDescent="0.2">
      <c r="M265" s="5">
        <f t="shared" si="104"/>
        <v>64.5</v>
      </c>
      <c r="N265" s="43">
        <f t="shared" si="102"/>
        <v>49400</v>
      </c>
      <c r="O265" s="31">
        <f t="shared" si="111"/>
        <v>398305.15179771773</v>
      </c>
      <c r="P265" s="31">
        <f t="shared" si="121"/>
        <v>134500</v>
      </c>
      <c r="Q265" s="30">
        <f t="shared" si="112"/>
        <v>22713.5432035755</v>
      </c>
      <c r="R265" s="31">
        <f t="shared" si="113"/>
        <v>62839.102303372521</v>
      </c>
      <c r="S265" s="47">
        <f t="shared" si="114"/>
        <v>1135416.9800010396</v>
      </c>
      <c r="T265" s="30">
        <f t="shared" si="115"/>
        <v>833619.89008670487</v>
      </c>
      <c r="U265" s="31">
        <f t="shared" si="133"/>
        <v>55500</v>
      </c>
      <c r="V265" s="30">
        <f t="shared" si="116"/>
        <v>389378.66345821955</v>
      </c>
      <c r="W265" s="38">
        <f t="shared" si="118"/>
        <v>2857917.3730418738</v>
      </c>
      <c r="X265" s="69">
        <f t="shared" si="124"/>
        <v>3302796.0365000935</v>
      </c>
      <c r="Y265">
        <f t="shared" si="117"/>
        <v>167</v>
      </c>
      <c r="Z265" s="30">
        <f t="shared" si="119"/>
        <v>405022.70564946369</v>
      </c>
      <c r="AA265" s="2">
        <f t="shared" ca="1" si="101"/>
        <v>24</v>
      </c>
    </row>
    <row r="266" spans="3:27" x14ac:dyDescent="0.2">
      <c r="M266" s="5">
        <f t="shared" si="104"/>
        <v>64.5</v>
      </c>
      <c r="N266" s="43">
        <f t="shared" si="102"/>
        <v>49430</v>
      </c>
      <c r="O266" s="31">
        <f t="shared" si="111"/>
        <v>401668.14662295161</v>
      </c>
      <c r="P266" s="31">
        <f t="shared" si="121"/>
        <v>134500</v>
      </c>
      <c r="Q266" s="30">
        <f t="shared" si="112"/>
        <v>22874.430801267492</v>
      </c>
      <c r="R266" s="31">
        <f t="shared" si="113"/>
        <v>63284.212611354742</v>
      </c>
      <c r="S266" s="47">
        <f t="shared" si="114"/>
        <v>1143459.5169427136</v>
      </c>
      <c r="T266" s="30">
        <f t="shared" si="115"/>
        <v>839524.69764148572</v>
      </c>
      <c r="U266" s="31">
        <f t="shared" si="133"/>
        <v>55500</v>
      </c>
      <c r="V266" s="30">
        <f t="shared" si="116"/>
        <v>392495.09565771528</v>
      </c>
      <c r="W266" s="38">
        <f t="shared" si="118"/>
        <v>2879285.9544342542</v>
      </c>
      <c r="X266" s="69">
        <f t="shared" si="124"/>
        <v>3327281.0500919693</v>
      </c>
      <c r="Y266">
        <f t="shared" si="117"/>
        <v>167</v>
      </c>
      <c r="Z266" s="30">
        <f t="shared" si="119"/>
        <v>408474.94981448073</v>
      </c>
      <c r="AA266" s="2">
        <f t="shared" ref="AA266:AA274" ca="1" si="134">IF(AND(TODAY()&lt;N267,OR(TODAY()&gt;N266,TODAY()=N266)),ROW(Z266),AA265)</f>
        <v>24</v>
      </c>
    </row>
    <row r="267" spans="3:27" x14ac:dyDescent="0.2">
      <c r="M267" s="5">
        <f t="shared" si="104"/>
        <v>64.599999999999994</v>
      </c>
      <c r="N267" s="43">
        <f t="shared" ref="N267:N274" si="135">DATE(YEAR(N266),MONTH(N266)+1,1)</f>
        <v>49461</v>
      </c>
      <c r="O267" s="31">
        <f t="shared" si="111"/>
        <v>405054.96266153088</v>
      </c>
      <c r="P267" s="31">
        <f t="shared" si="121"/>
        <v>134500</v>
      </c>
      <c r="Q267" s="30">
        <f t="shared" si="112"/>
        <v>23036.458019443136</v>
      </c>
      <c r="R267" s="31">
        <f t="shared" si="113"/>
        <v>63732.475784018505</v>
      </c>
      <c r="S267" s="47">
        <f t="shared" si="114"/>
        <v>1151559.0218543911</v>
      </c>
      <c r="T267" s="30">
        <f t="shared" si="115"/>
        <v>845471.33091644628</v>
      </c>
      <c r="U267" s="31">
        <f t="shared" si="133"/>
        <v>55500</v>
      </c>
      <c r="V267" s="30">
        <f t="shared" si="116"/>
        <v>395633.60258529073</v>
      </c>
      <c r="W267" s="38">
        <f t="shared" si="118"/>
        <v>2900805.8966114963</v>
      </c>
      <c r="X267" s="69">
        <f t="shared" si="124"/>
        <v>3351939.4991967869</v>
      </c>
      <c r="Y267">
        <f t="shared" si="117"/>
        <v>167</v>
      </c>
      <c r="Z267" s="30">
        <f t="shared" si="119"/>
        <v>411951.64737566659</v>
      </c>
      <c r="AA267" s="2">
        <f t="shared" ca="1" si="134"/>
        <v>24</v>
      </c>
    </row>
    <row r="268" spans="3:27" x14ac:dyDescent="0.2">
      <c r="M268" s="5">
        <f t="shared" ref="M268:M274" si="136">(INT((((YEAR(N268)-YEAR(DATE(1970,10,16)))*12+MONTH(N268)-MONTH(DATE(1970,10,16)))/12)*10))/10</f>
        <v>64.7</v>
      </c>
      <c r="N268" s="43">
        <f t="shared" si="135"/>
        <v>49491</v>
      </c>
      <c r="O268" s="31">
        <f t="shared" si="111"/>
        <v>408465.76864705008</v>
      </c>
      <c r="P268" s="31">
        <f t="shared" si="121"/>
        <v>134500</v>
      </c>
      <c r="Q268" s="30">
        <f t="shared" si="112"/>
        <v>23199.632930414191</v>
      </c>
      <c r="R268" s="31">
        <f t="shared" si="113"/>
        <v>64183.914154155304</v>
      </c>
      <c r="S268" s="47">
        <f t="shared" si="114"/>
        <v>1159715.8982591929</v>
      </c>
      <c r="T268" s="30">
        <f t="shared" si="115"/>
        <v>851460.08617710439</v>
      </c>
      <c r="U268" s="31">
        <f t="shared" si="133"/>
        <v>55500</v>
      </c>
      <c r="V268" s="30">
        <f t="shared" si="116"/>
        <v>398794.34060360317</v>
      </c>
      <c r="W268" s="38">
        <f t="shared" si="118"/>
        <v>2922478.2717124945</v>
      </c>
      <c r="X268" s="69">
        <f t="shared" si="124"/>
        <v>3376772.6123160976</v>
      </c>
      <c r="Y268">
        <f t="shared" si="117"/>
        <v>167</v>
      </c>
      <c r="Z268" s="30">
        <f t="shared" si="119"/>
        <v>415452.97154457757</v>
      </c>
      <c r="AA268" s="2">
        <f t="shared" ca="1" si="134"/>
        <v>24</v>
      </c>
    </row>
    <row r="269" spans="3:27" x14ac:dyDescent="0.2">
      <c r="M269" s="5">
        <f t="shared" si="136"/>
        <v>64.8</v>
      </c>
      <c r="N269" s="43">
        <f t="shared" si="135"/>
        <v>49522</v>
      </c>
      <c r="O269" s="31">
        <f t="shared" si="111"/>
        <v>411900.73450830003</v>
      </c>
      <c r="P269" s="31">
        <f t="shared" si="121"/>
        <v>134500</v>
      </c>
      <c r="Q269" s="30">
        <f t="shared" si="112"/>
        <v>23363.963663671293</v>
      </c>
      <c r="R269" s="31">
        <f t="shared" si="113"/>
        <v>64638.550212747235</v>
      </c>
      <c r="S269" s="47">
        <f t="shared" si="114"/>
        <v>1167930.5525385288</v>
      </c>
      <c r="T269" s="30">
        <f t="shared" si="115"/>
        <v>857491.26178752549</v>
      </c>
      <c r="U269" s="31">
        <f t="shared" si="133"/>
        <v>55500</v>
      </c>
      <c r="V269" s="30">
        <f t="shared" si="116"/>
        <v>401977.4671828787</v>
      </c>
      <c r="W269" s="38">
        <f t="shared" si="118"/>
        <v>2944304.1594704576</v>
      </c>
      <c r="X269" s="69">
        <f t="shared" si="124"/>
        <v>3401781.6266533365</v>
      </c>
      <c r="Y269">
        <f t="shared" si="117"/>
        <v>167</v>
      </c>
      <c r="Z269" s="30">
        <f t="shared" si="119"/>
        <v>418979.09675968497</v>
      </c>
      <c r="AA269" s="2">
        <f t="shared" ca="1" si="134"/>
        <v>24</v>
      </c>
    </row>
    <row r="270" spans="3:27" x14ac:dyDescent="0.2">
      <c r="M270" s="5">
        <f t="shared" si="136"/>
        <v>64.900000000000006</v>
      </c>
      <c r="N270" s="43">
        <f t="shared" si="135"/>
        <v>49553</v>
      </c>
      <c r="O270" s="31">
        <f t="shared" si="111"/>
        <v>415360.03137773386</v>
      </c>
      <c r="P270" s="31">
        <f t="shared" si="121"/>
        <v>134500</v>
      </c>
      <c r="Q270" s="30">
        <f t="shared" si="112"/>
        <v>23529.458406288966</v>
      </c>
      <c r="R270" s="31">
        <f t="shared" si="113"/>
        <v>65096.406610087528</v>
      </c>
      <c r="S270" s="47">
        <f t="shared" si="114"/>
        <v>1176203.3939523434</v>
      </c>
      <c r="T270" s="30">
        <f t="shared" si="115"/>
        <v>863565.1582251871</v>
      </c>
      <c r="U270" s="31">
        <f t="shared" si="133"/>
        <v>55500</v>
      </c>
      <c r="V270" s="30">
        <f t="shared" si="116"/>
        <v>405183.1409087574</v>
      </c>
      <c r="W270" s="38">
        <f t="shared" si="118"/>
        <v>2966284.6472667069</v>
      </c>
      <c r="X270" s="69">
        <f t="shared" si="124"/>
        <v>3426967.7881754641</v>
      </c>
      <c r="Y270">
        <f t="shared" si="117"/>
        <v>167</v>
      </c>
      <c r="Z270" s="30">
        <f t="shared" si="119"/>
        <v>422530.19869506604</v>
      </c>
      <c r="AA270" s="2">
        <f t="shared" ca="1" si="134"/>
        <v>24</v>
      </c>
    </row>
    <row r="271" spans="3:27" x14ac:dyDescent="0.2">
      <c r="M271" s="5">
        <f t="shared" si="136"/>
        <v>65</v>
      </c>
      <c r="N271" s="43">
        <f t="shared" si="135"/>
        <v>49583</v>
      </c>
      <c r="O271" s="31">
        <f t="shared" si="111"/>
        <v>418843.83159999282</v>
      </c>
      <c r="P271" s="31">
        <f t="shared" si="121"/>
        <v>134500</v>
      </c>
      <c r="Q271" s="30">
        <f t="shared" si="112"/>
        <v>23696.125403333514</v>
      </c>
      <c r="R271" s="31">
        <f t="shared" si="113"/>
        <v>65557.506156908974</v>
      </c>
      <c r="S271" s="47">
        <f t="shared" si="114"/>
        <v>1184534.8346595059</v>
      </c>
      <c r="T271" s="30">
        <f t="shared" si="115"/>
        <v>869682.07809594879</v>
      </c>
      <c r="U271" s="31">
        <f t="shared" si="133"/>
        <v>55500</v>
      </c>
      <c r="V271" s="30">
        <f t="shared" si="116"/>
        <v>408411.52149019443</v>
      </c>
      <c r="W271" s="38">
        <f t="shared" si="118"/>
        <v>2988420.8301848462</v>
      </c>
      <c r="X271" s="69">
        <f t="shared" si="124"/>
        <v>3452332.3516750401</v>
      </c>
      <c r="Y271">
        <f t="shared" si="117"/>
        <v>167</v>
      </c>
      <c r="Z271" s="30">
        <f t="shared" si="119"/>
        <v>426106.45426915609</v>
      </c>
      <c r="AA271" s="2">
        <f t="shared" ca="1" si="134"/>
        <v>24</v>
      </c>
    </row>
    <row r="272" spans="3:27" x14ac:dyDescent="0.2">
      <c r="M272" s="5">
        <f t="shared" si="136"/>
        <v>65</v>
      </c>
      <c r="N272" s="43">
        <f t="shared" si="135"/>
        <v>49614</v>
      </c>
      <c r="O272" s="31">
        <f t="shared" si="111"/>
        <v>422352.30874049279</v>
      </c>
      <c r="P272" s="31">
        <f t="shared" si="121"/>
        <v>134500</v>
      </c>
      <c r="Q272" s="30">
        <f t="shared" si="112"/>
        <v>23863.972958273793</v>
      </c>
      <c r="R272" s="31">
        <f t="shared" si="113"/>
        <v>66021.871825520415</v>
      </c>
      <c r="S272" s="47">
        <f t="shared" si="114"/>
        <v>1192925.289738344</v>
      </c>
      <c r="T272" s="30">
        <f t="shared" si="115"/>
        <v>875842.32614912838</v>
      </c>
      <c r="U272" s="31">
        <f t="shared" si="133"/>
        <v>55500</v>
      </c>
      <c r="V272" s="30">
        <f t="shared" si="116"/>
        <v>411662.76976741664</v>
      </c>
      <c r="W272" s="38">
        <f t="shared" si="118"/>
        <v>3010713.8110653218</v>
      </c>
      <c r="X272" s="69">
        <f t="shared" si="124"/>
        <v>3477876.5808327384</v>
      </c>
      <c r="Y272">
        <f t="shared" si="117"/>
        <v>167</v>
      </c>
      <c r="Z272" s="30">
        <f t="shared" si="119"/>
        <v>429708.04165356257</v>
      </c>
      <c r="AA272" s="2">
        <f t="shared" ca="1" si="134"/>
        <v>24</v>
      </c>
    </row>
    <row r="273" spans="13:27" x14ac:dyDescent="0.2">
      <c r="M273" s="5">
        <f t="shared" si="136"/>
        <v>65.099999999999994</v>
      </c>
      <c r="N273" s="43">
        <f t="shared" si="135"/>
        <v>49644</v>
      </c>
      <c r="O273" s="31">
        <f t="shared" si="111"/>
        <v>425885.63759407128</v>
      </c>
      <c r="P273" s="31">
        <f t="shared" si="121"/>
        <v>134500</v>
      </c>
      <c r="Q273" s="30">
        <f t="shared" si="112"/>
        <v>24033.009433394898</v>
      </c>
      <c r="R273" s="31">
        <f t="shared" si="113"/>
        <v>66489.52675095119</v>
      </c>
      <c r="S273" s="47">
        <f t="shared" si="114"/>
        <v>1201375.177207324</v>
      </c>
      <c r="T273" s="30">
        <f t="shared" si="115"/>
        <v>882046.20929268468</v>
      </c>
      <c r="U273" s="31">
        <f t="shared" si="133"/>
        <v>55500</v>
      </c>
      <c r="V273" s="30">
        <f t="shared" si="116"/>
        <v>414937.04771993583</v>
      </c>
      <c r="W273" s="38">
        <f t="shared" si="118"/>
        <v>3033164.7005603677</v>
      </c>
      <c r="X273" s="69">
        <f t="shared" si="124"/>
        <v>3503601.7482803036</v>
      </c>
      <c r="Y273">
        <f t="shared" si="117"/>
        <v>167</v>
      </c>
      <c r="Z273" s="30">
        <f t="shared" si="119"/>
        <v>433335.14028194197</v>
      </c>
      <c r="AA273" s="2">
        <f t="shared" ca="1" si="134"/>
        <v>24</v>
      </c>
    </row>
    <row r="274" spans="13:27" x14ac:dyDescent="0.2">
      <c r="M274" s="5">
        <f t="shared" si="136"/>
        <v>65.2</v>
      </c>
      <c r="N274" s="43">
        <f t="shared" si="135"/>
        <v>49675</v>
      </c>
      <c r="O274" s="31">
        <f t="shared" si="111"/>
        <v>429443.99419369595</v>
      </c>
      <c r="P274" s="31">
        <f>P273</f>
        <v>134500</v>
      </c>
      <c r="Q274" s="30">
        <f t="shared" si="112"/>
        <v>24203.243250214779</v>
      </c>
      <c r="R274" s="31">
        <f t="shared" si="113"/>
        <v>66960.494232103767</v>
      </c>
      <c r="S274" s="47">
        <f t="shared" si="114"/>
        <v>1209884.9180458758</v>
      </c>
      <c r="T274" s="30">
        <f t="shared" si="115"/>
        <v>888294.03660850786</v>
      </c>
      <c r="U274" s="31">
        <f t="shared" si="133"/>
        <v>55500</v>
      </c>
      <c r="V274" s="30">
        <f t="shared" si="116"/>
        <v>418234.51847461867</v>
      </c>
      <c r="W274" s="38">
        <f t="shared" si="118"/>
        <v>3055774.617189337</v>
      </c>
      <c r="X274" s="69">
        <f t="shared" si="124"/>
        <v>3529509.1356639555</v>
      </c>
      <c r="Y274">
        <f t="shared" si="117"/>
        <v>167</v>
      </c>
      <c r="Z274" s="30">
        <f t="shared" si="119"/>
        <v>436987.93085893907</v>
      </c>
      <c r="AA274" s="2">
        <f t="shared" ca="1" si="134"/>
        <v>24</v>
      </c>
    </row>
  </sheetData>
  <mergeCells count="100">
    <mergeCell ref="C50:D50"/>
    <mergeCell ref="E50:F50"/>
    <mergeCell ref="B54:D54"/>
    <mergeCell ref="E54:F54"/>
    <mergeCell ref="O5:T6"/>
    <mergeCell ref="E47:F47"/>
    <mergeCell ref="E48:F48"/>
    <mergeCell ref="E49:F49"/>
    <mergeCell ref="D35:E35"/>
    <mergeCell ref="B39:E39"/>
    <mergeCell ref="B40:E40"/>
    <mergeCell ref="B41:E41"/>
    <mergeCell ref="B44:D46"/>
    <mergeCell ref="E44:F46"/>
    <mergeCell ref="C48:D48"/>
    <mergeCell ref="C47:D47"/>
    <mergeCell ref="B59:D59"/>
    <mergeCell ref="E59:F59"/>
    <mergeCell ref="B56:D56"/>
    <mergeCell ref="E56:F56"/>
    <mergeCell ref="B57:D57"/>
    <mergeCell ref="E57:F57"/>
    <mergeCell ref="B58:D58"/>
    <mergeCell ref="E58:F58"/>
    <mergeCell ref="E55:F55"/>
    <mergeCell ref="B55:D55"/>
    <mergeCell ref="H63:I63"/>
    <mergeCell ref="B52:C52"/>
    <mergeCell ref="B53:C53"/>
    <mergeCell ref="E52:F52"/>
    <mergeCell ref="B60:D60"/>
    <mergeCell ref="E60:F60"/>
    <mergeCell ref="C49:D49"/>
    <mergeCell ref="T7:U8"/>
    <mergeCell ref="J41:K41"/>
    <mergeCell ref="H40:I40"/>
    <mergeCell ref="H45:I45"/>
    <mergeCell ref="J45:K45"/>
    <mergeCell ref="H22:I22"/>
    <mergeCell ref="J22:K22"/>
    <mergeCell ref="H42:I42"/>
    <mergeCell ref="J42:K42"/>
    <mergeCell ref="H41:I41"/>
    <mergeCell ref="J40:K40"/>
    <mergeCell ref="H44:I44"/>
    <mergeCell ref="J44:K44"/>
    <mergeCell ref="H43:I43"/>
    <mergeCell ref="J43:K43"/>
    <mergeCell ref="H37:I37"/>
    <mergeCell ref="J37:K37"/>
    <mergeCell ref="H38:I38"/>
    <mergeCell ref="J38:K38"/>
    <mergeCell ref="H39:I39"/>
    <mergeCell ref="J39:K39"/>
    <mergeCell ref="J29:K29"/>
    <mergeCell ref="J30:K30"/>
    <mergeCell ref="H36:I36"/>
    <mergeCell ref="J36:K36"/>
    <mergeCell ref="H31:I31"/>
    <mergeCell ref="H32:I32"/>
    <mergeCell ref="H33:I33"/>
    <mergeCell ref="J31:K31"/>
    <mergeCell ref="J32:K32"/>
    <mergeCell ref="J33:K33"/>
    <mergeCell ref="H34:I34"/>
    <mergeCell ref="J34:K34"/>
    <mergeCell ref="H35:I35"/>
    <mergeCell ref="J35:K35"/>
    <mergeCell ref="H30:I30"/>
    <mergeCell ref="H21:I21"/>
    <mergeCell ref="J21:K21"/>
    <mergeCell ref="B2:M4"/>
    <mergeCell ref="B7:B8"/>
    <mergeCell ref="H9:I10"/>
    <mergeCell ref="H11:H12"/>
    <mergeCell ref="I11:K11"/>
    <mergeCell ref="H7:K8"/>
    <mergeCell ref="H23:I23"/>
    <mergeCell ref="H24:I24"/>
    <mergeCell ref="H28:I28"/>
    <mergeCell ref="H29:I29"/>
    <mergeCell ref="J23:K23"/>
    <mergeCell ref="J24:K24"/>
    <mergeCell ref="J28:K28"/>
    <mergeCell ref="B63:D63"/>
    <mergeCell ref="E63:F63"/>
    <mergeCell ref="N7:S8"/>
    <mergeCell ref="D6:F8"/>
    <mergeCell ref="B62:D62"/>
    <mergeCell ref="E62:F62"/>
    <mergeCell ref="B61:D61"/>
    <mergeCell ref="E61:F61"/>
    <mergeCell ref="H46:I46"/>
    <mergeCell ref="J46:K46"/>
    <mergeCell ref="H25:I25"/>
    <mergeCell ref="J25:K25"/>
    <mergeCell ref="H26:I26"/>
    <mergeCell ref="J26:K26"/>
    <mergeCell ref="H27:I27"/>
    <mergeCell ref="J27:K27"/>
  </mergeCells>
  <conditionalFormatting sqref="E55:F55 E56:E58">
    <cfRule type="cellIs" dxfId="23" priority="8" stopIfTrue="1" operator="lessThan">
      <formula>0</formula>
    </cfRule>
  </conditionalFormatting>
  <conditionalFormatting sqref="D52">
    <cfRule type="expression" dxfId="22" priority="11" stopIfTrue="1">
      <formula>$D$52="N/A"</formula>
    </cfRule>
    <cfRule type="expression" dxfId="21" priority="13" stopIfTrue="1">
      <formula>1</formula>
    </cfRule>
  </conditionalFormatting>
  <conditionalFormatting sqref="D53">
    <cfRule type="expression" dxfId="20" priority="9" stopIfTrue="1">
      <formula>$D$53="N/A"</formula>
    </cfRule>
    <cfRule type="expression" dxfId="19" priority="10" stopIfTrue="1">
      <formula>1</formula>
    </cfRule>
  </conditionalFormatting>
  <conditionalFormatting sqref="E55:F55">
    <cfRule type="expression" dxfId="18" priority="16" stopIfTrue="1">
      <formula>1</formula>
    </cfRule>
  </conditionalFormatting>
  <conditionalFormatting sqref="M25">
    <cfRule type="expression" dxfId="17" priority="7" stopIfTrue="1">
      <formula>"Row(M25)=$Y$274"</formula>
    </cfRule>
  </conditionalFormatting>
  <conditionalFormatting sqref="M25:Z274">
    <cfRule type="expression" dxfId="16" priority="5" stopIfTrue="1">
      <formula>(ROW()=$Y$274)</formula>
    </cfRule>
  </conditionalFormatting>
  <conditionalFormatting sqref="E52:F52">
    <cfRule type="expression" dxfId="14" priority="2" stopIfTrue="1">
      <formula>$E$52="RMD FAIL"</formula>
    </cfRule>
    <cfRule type="expression" dxfId="13" priority="3" stopIfTrue="1">
      <formula>$E$52="RMD OK"</formula>
    </cfRule>
  </conditionalFormatting>
  <conditionalFormatting sqref="J26:J27">
    <cfRule type="expression" dxfId="12" priority="1">
      <formula>OR($J$22=55,$J$22&gt;55)</formula>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expression" priority="4" stopIfTrue="1" id="{9734053B-B5E0-4179-8CD5-94A19679E84C}">
            <xm:f>AND($J$22&lt;55,$J$26&gt;('Projected Retirement Drawdown'!$L$10+'Projected Retirement Drawdown'!$N$10+'Projected Retirement Drawdown'!$F$10))</xm:f>
            <x14:dxf>
              <fill>
                <patternFill>
                  <bgColor rgb="FFFF0000"/>
                </patternFill>
              </fill>
            </x14:dxf>
          </x14:cfRule>
          <xm:sqref>J26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O506"/>
  <sheetViews>
    <sheetView workbookViewId="0">
      <pane xSplit="3" ySplit="9" topLeftCell="D10" activePane="bottomRight" state="frozen"/>
      <selection activeCell="P15" sqref="P15"/>
      <selection pane="topRight" activeCell="P15" sqref="P15"/>
      <selection pane="bottomLeft" activeCell="P15" sqref="P15"/>
      <selection pane="bottomRight" activeCell="H201" sqref="H201:H505"/>
    </sheetView>
  </sheetViews>
  <sheetFormatPr defaultRowHeight="12.75" x14ac:dyDescent="0.2"/>
  <cols>
    <col min="1" max="1" width="4.140625" customWidth="1"/>
    <col min="2" max="2" width="5.85546875" customWidth="1"/>
    <col min="4" max="4" width="10.140625" bestFit="1" customWidth="1"/>
    <col min="5" max="5" width="9.28515625" bestFit="1" customWidth="1"/>
    <col min="6" max="6" width="10.42578125" customWidth="1"/>
    <col min="7" max="7" width="9.28515625" bestFit="1" customWidth="1"/>
    <col min="8" max="9" width="9.28515625" customWidth="1"/>
    <col min="10" max="10" width="10.140625" bestFit="1" customWidth="1"/>
    <col min="11" max="11" width="9.28515625" bestFit="1" customWidth="1"/>
    <col min="12" max="12" width="11.28515625" customWidth="1"/>
    <col min="13" max="13" width="9.28515625" bestFit="1" customWidth="1"/>
    <col min="14" max="14" width="10" customWidth="1"/>
    <col min="15" max="15" width="9.28515625" bestFit="1" customWidth="1"/>
    <col min="16" max="16" width="10.140625" bestFit="1" customWidth="1"/>
    <col min="17" max="17" width="9.28515625" bestFit="1" customWidth="1"/>
    <col min="18" max="18" width="10.85546875" customWidth="1"/>
    <col min="19" max="20" width="7.5703125" customWidth="1"/>
    <col min="21" max="21" width="10.85546875" customWidth="1"/>
    <col min="22" max="22" width="7.42578125" customWidth="1"/>
    <col min="23" max="23" width="11.140625" customWidth="1"/>
    <col min="24" max="24" width="8.5703125" customWidth="1"/>
    <col min="25" max="26" width="7.7109375" customWidth="1"/>
    <col min="27" max="28" width="8.85546875" customWidth="1"/>
    <col min="29" max="29" width="7.5703125" customWidth="1"/>
    <col min="30" max="30" width="7" customWidth="1"/>
    <col min="31" max="34" width="9.28515625" bestFit="1" customWidth="1"/>
    <col min="39" max="39" width="6.85546875" customWidth="1"/>
  </cols>
  <sheetData>
    <row r="2" spans="1:41" ht="13.5" thickBot="1" x14ac:dyDescent="0.25">
      <c r="Z2" s="4"/>
    </row>
    <row r="3" spans="1:41" x14ac:dyDescent="0.2">
      <c r="B3" s="145" t="s">
        <v>140</v>
      </c>
      <c r="C3" s="146"/>
      <c r="D3" s="146"/>
      <c r="E3" s="146"/>
      <c r="F3" s="146"/>
      <c r="G3" s="146"/>
      <c r="H3" s="146"/>
      <c r="I3" s="146"/>
      <c r="J3" s="146"/>
      <c r="K3" s="146"/>
      <c r="L3" s="146"/>
      <c r="M3" s="146"/>
      <c r="N3" s="147"/>
      <c r="Q3" s="4" t="s">
        <v>138</v>
      </c>
      <c r="S3" s="4"/>
      <c r="T3" s="4"/>
      <c r="U3" s="4"/>
      <c r="V3" s="4"/>
      <c r="Z3" s="4"/>
      <c r="AA3" s="4"/>
      <c r="AB3" s="4"/>
      <c r="AC3" s="4"/>
    </row>
    <row r="4" spans="1:41" x14ac:dyDescent="0.2">
      <c r="B4" s="148"/>
      <c r="C4" s="149"/>
      <c r="D4" s="149"/>
      <c r="E4" s="149"/>
      <c r="F4" s="149"/>
      <c r="G4" s="149"/>
      <c r="H4" s="149"/>
      <c r="I4" s="149"/>
      <c r="J4" s="149"/>
      <c r="K4" s="149"/>
      <c r="L4" s="149"/>
      <c r="M4" s="149"/>
      <c r="N4" s="150"/>
    </row>
    <row r="5" spans="1:41" ht="13.5" thickBot="1" x14ac:dyDescent="0.25">
      <c r="B5" s="151"/>
      <c r="C5" s="152"/>
      <c r="D5" s="152"/>
      <c r="E5" s="152"/>
      <c r="F5" s="152"/>
      <c r="G5" s="152"/>
      <c r="H5" s="152"/>
      <c r="I5" s="152"/>
      <c r="J5" s="152"/>
      <c r="K5" s="152"/>
      <c r="L5" s="152"/>
      <c r="M5" s="152"/>
      <c r="N5" s="153"/>
    </row>
    <row r="6" spans="1:41" x14ac:dyDescent="0.2">
      <c r="O6" s="7"/>
      <c r="P6" s="102"/>
      <c r="Q6" s="103"/>
    </row>
    <row r="7" spans="1:41" ht="13.5" thickBot="1" x14ac:dyDescent="0.25"/>
    <row r="8" spans="1:41" ht="13.5" thickBot="1" x14ac:dyDescent="0.25">
      <c r="D8" s="105" t="s">
        <v>26</v>
      </c>
      <c r="E8" s="247"/>
      <c r="F8" s="212" t="s">
        <v>57</v>
      </c>
      <c r="G8" s="213"/>
      <c r="H8" s="77" t="s">
        <v>145</v>
      </c>
      <c r="I8" s="256" t="s">
        <v>147</v>
      </c>
      <c r="J8" s="253" t="s">
        <v>35</v>
      </c>
      <c r="K8" s="247"/>
      <c r="L8" s="105" t="s">
        <v>58</v>
      </c>
      <c r="M8" s="247"/>
      <c r="N8" s="105" t="s">
        <v>137</v>
      </c>
      <c r="O8" s="245"/>
      <c r="P8" s="105" t="s">
        <v>28</v>
      </c>
      <c r="Q8" s="245"/>
      <c r="R8" s="212" t="s">
        <v>59</v>
      </c>
      <c r="S8" s="213"/>
      <c r="T8" s="214"/>
      <c r="U8" s="105" t="s">
        <v>99</v>
      </c>
      <c r="V8" s="246"/>
      <c r="W8" s="20" t="s">
        <v>60</v>
      </c>
      <c r="X8" s="20" t="s">
        <v>61</v>
      </c>
      <c r="Y8" s="20" t="s">
        <v>18</v>
      </c>
      <c r="Z8" s="20"/>
      <c r="AA8" s="20"/>
      <c r="AB8" s="20" t="s">
        <v>141</v>
      </c>
      <c r="AC8" s="20" t="s">
        <v>63</v>
      </c>
      <c r="AD8" s="20" t="s">
        <v>63</v>
      </c>
      <c r="AE8" s="20" t="s">
        <v>75</v>
      </c>
      <c r="AF8" s="20" t="s">
        <v>75</v>
      </c>
      <c r="AG8" s="20" t="s">
        <v>67</v>
      </c>
      <c r="AH8" s="20" t="s">
        <v>67</v>
      </c>
      <c r="AI8" s="20" t="s">
        <v>67</v>
      </c>
      <c r="AJ8" s="20" t="s">
        <v>78</v>
      </c>
      <c r="AK8" s="20" t="s">
        <v>85</v>
      </c>
      <c r="AL8" s="20" t="s">
        <v>87</v>
      </c>
      <c r="AN8" s="20" t="s">
        <v>11</v>
      </c>
      <c r="AO8" s="20" t="s">
        <v>123</v>
      </c>
    </row>
    <row r="9" spans="1:41" ht="13.5" thickBot="1" x14ac:dyDescent="0.25">
      <c r="B9" s="33" t="s">
        <v>42</v>
      </c>
      <c r="C9" s="33" t="s">
        <v>54</v>
      </c>
      <c r="D9" s="266" t="s">
        <v>55</v>
      </c>
      <c r="E9" s="267" t="s">
        <v>56</v>
      </c>
      <c r="F9" s="266" t="s">
        <v>55</v>
      </c>
      <c r="G9" s="267" t="s">
        <v>56</v>
      </c>
      <c r="H9" s="268" t="s">
        <v>146</v>
      </c>
      <c r="I9" s="75" t="s">
        <v>148</v>
      </c>
      <c r="J9" s="269" t="s">
        <v>55</v>
      </c>
      <c r="K9" s="267" t="s">
        <v>56</v>
      </c>
      <c r="L9" s="266" t="s">
        <v>55</v>
      </c>
      <c r="M9" s="267" t="s">
        <v>56</v>
      </c>
      <c r="N9" s="266" t="s">
        <v>55</v>
      </c>
      <c r="O9" s="267" t="s">
        <v>56</v>
      </c>
      <c r="P9" s="266" t="s">
        <v>55</v>
      </c>
      <c r="Q9" s="267" t="s">
        <v>56</v>
      </c>
      <c r="R9" s="266" t="s">
        <v>55</v>
      </c>
      <c r="S9" s="267" t="s">
        <v>56</v>
      </c>
      <c r="T9" s="37" t="s">
        <v>149</v>
      </c>
      <c r="U9" s="270" t="s">
        <v>55</v>
      </c>
      <c r="V9" s="271" t="s">
        <v>56</v>
      </c>
      <c r="W9" s="46" t="s">
        <v>55</v>
      </c>
      <c r="X9" s="46" t="s">
        <v>62</v>
      </c>
      <c r="Y9" s="46" t="s">
        <v>66</v>
      </c>
      <c r="Z9" s="46" t="s">
        <v>98</v>
      </c>
      <c r="AA9" s="46" t="s">
        <v>92</v>
      </c>
      <c r="AB9" s="46" t="s">
        <v>142</v>
      </c>
      <c r="AC9" s="46" t="s">
        <v>64</v>
      </c>
      <c r="AD9" s="46" t="s">
        <v>65</v>
      </c>
      <c r="AE9" s="20" t="s">
        <v>64</v>
      </c>
      <c r="AF9" s="20" t="s">
        <v>65</v>
      </c>
      <c r="AG9" s="20" t="s">
        <v>68</v>
      </c>
      <c r="AH9" s="20" t="s">
        <v>73</v>
      </c>
      <c r="AI9" s="20" t="s">
        <v>65</v>
      </c>
      <c r="AJ9" s="20" t="s">
        <v>79</v>
      </c>
      <c r="AK9" s="20" t="s">
        <v>86</v>
      </c>
      <c r="AL9" s="20" t="s">
        <v>86</v>
      </c>
      <c r="AM9" s="20" t="s">
        <v>113</v>
      </c>
      <c r="AN9" s="20" t="s">
        <v>66</v>
      </c>
      <c r="AO9" s="20" t="s">
        <v>124</v>
      </c>
    </row>
    <row r="10" spans="1:41" ht="13.5" thickBot="1" x14ac:dyDescent="0.25">
      <c r="B10" s="257">
        <f>INDEX('Retirement Planning'!M1:M274,'Retirement Planning'!Y274)</f>
        <v>56.3</v>
      </c>
      <c r="C10" s="258">
        <f>INDEX('Retirement Planning'!N1:N274,'Retirement Planning'!$Y274)</f>
        <v>46419</v>
      </c>
      <c r="D10" s="259">
        <f>INDEX('Retirement Planning'!O1:O274,'Retirement Planning'!$Y274)</f>
        <v>161256.38842454893</v>
      </c>
      <c r="E10" s="260">
        <f ca="1">MIN(D10,MAX(0,Y10+AA10+AJ10-X10-V10-M10-G10-K10))</f>
        <v>627.55579507339735</v>
      </c>
      <c r="F10" s="259">
        <f>IF(B10&lt;55,'Retirement Planning'!$J$26,IF('Projected Retirement Drawdown'!B10&lt;59.5,INDEX('Retirement Planning'!Q1:Q274,'Retirement Planning'!$Y274),INDEX('Retirement Planning'!Q1:Q274,'Retirement Planning'!$Y274)+INDEX('Retirement Planning'!S1:S274,'Retirement Planning'!$Y274)+INDEX('Retirement Planning'!T1:T274,'Retirement Planning'!$Y274)))</f>
        <v>11372.994657737345</v>
      </c>
      <c r="G10" s="260">
        <f>IF(AND($B$10&lt;55,B10&lt;59.5),'Retirement Planning'!$J$25,IF(OR(B10&gt;59.5,B10=59.5),MAX(0,MIN(F10,IF(D10&lt;2500,((Y10+AJ10+AA10))-X10,((Y10+AJ10+AA10)*'Retirement Planning'!$J$44)-X10))),0))</f>
        <v>0</v>
      </c>
      <c r="H10" s="261">
        <f>IF(MONTH(C10)=1,IF(B10&gt;69.5,F10/(INDEX('Retirement Planning'!D$1:D$264,(160+INT(B10))))/12,0),0)</f>
        <v>0</v>
      </c>
      <c r="I10" s="262">
        <f>MAX(0,H10-G10)</f>
        <v>0</v>
      </c>
      <c r="J10" s="263">
        <f>IF(B10&lt;59.5,INDEX('Retirement Planning'!R1:R274,'Retirement Planning'!$Y274),0)</f>
        <v>31464.433725195471</v>
      </c>
      <c r="K10" s="260">
        <f>IF(B10&gt;59.5,MAX(0,MIN(J10,AA10+Y10+AJ10-O10-M10-G10-X10)),0)</f>
        <v>0</v>
      </c>
      <c r="L10" s="259">
        <f>IF(B10&lt;55,INDEX('Retirement Planning'!S1:S274,'Retirement Planning'!$Y274)+INDEX('Retirement Planning'!T1:T274,'Retirement Planning'!$Y274)+INDEX('Retirement Planning'!Q1:Q274,'Retirement Planning'!$Y274)-'Retirement Planning'!J26,IF(B10&lt;59.5,INDEX('Retirement Planning'!S1:S274,'Retirement Planning'!$Y274)+INDEX('Retirement Planning'!T1:T274,'Retirement Planning'!$Y274),0))</f>
        <v>951829.94554087892</v>
      </c>
      <c r="M10" s="264">
        <f ca="1">IF(AND($B$10&lt;55,B10&lt;59.5),0,IF(B10&lt;59.5,MAX(0,MIN((($Y10+$AJ10+AA10-$X10)*'Retirement Planning'!$J$44),L10)),0))</f>
        <v>4954.3878558426131</v>
      </c>
      <c r="N10" s="259">
        <v>0</v>
      </c>
      <c r="O10" s="264">
        <v>0</v>
      </c>
      <c r="P10" s="259">
        <f>INDEX('Retirement Planning'!U1:U274,'Retirement Planning'!$Y274)</f>
        <v>43500</v>
      </c>
      <c r="Q10" s="260">
        <f>MIN(AC10+AE10+AH10,P10)</f>
        <v>641.33333333333337</v>
      </c>
      <c r="R10" s="259">
        <f>INDEX('Retirement Planning'!V1:V274,'Retirement Planning'!$Y274)</f>
        <v>169709.45865192954</v>
      </c>
      <c r="S10" s="260">
        <f>MIN(AD10+AF10+AG10+AI10,R10)</f>
        <v>358.33333333333337</v>
      </c>
      <c r="T10" s="273">
        <f ca="1">MIN(AN10-E10-G10-K10-M10-O10-Q10-S10-V10-X10,R10-S10)</f>
        <v>2.2737367544323206E-13</v>
      </c>
      <c r="U10" s="259">
        <f>INDEX('Retirement Planning'!Z1:Z274,'Retirement Planning'!$Y274)</f>
        <v>161682.98831206842</v>
      </c>
      <c r="V10" s="265">
        <f ca="1">IF(AND($B$10&lt;55,B10&lt;59.5),MIN(U10,MAX(0,(Y10+AA10+AJ10-G10)*'Retirement Planning'!$J$45)),IF(B10&lt;59.5,(MIN(U10,MAX(0,((Y10+AA10+AJ10)-G10-M10)*'Retirement Planning'!$J$45))),MIN(U10,MAX(0,(Y10+AA10+AJ10-G10-M10-K10-X10)*'Retirement Planning'!$J$45))))</f>
        <v>534.58456617363481</v>
      </c>
      <c r="W10" s="7">
        <f>D10+F10+J10+L10+N10+P10+R10+U10</f>
        <v>1530816.2093123586</v>
      </c>
      <c r="X10" s="7">
        <f>(IF(B10&gt;'Retirement Planning'!$J$34,IF('Retirement Planning'!$J$34=70,'Retirement Planning'!$J$37/12,IF('Retirement Planning'!$J$34=67,'Retirement Planning'!$J$36/12,'Retirement Planning'!$J$35/12)),0))*'Retirement Planning'!$J$38</f>
        <v>0</v>
      </c>
      <c r="Y10" s="7">
        <f ca="1">'Retirement Planning'!$F$35*((1+'Retirement Planning'!$J$24)^(YEAR('Projected Retirement Drawdown'!C10)-YEAR(TODAY())))</f>
        <v>5191.5282170896453</v>
      </c>
      <c r="Z10" s="7">
        <f ca="1">G10+M10+O10+0.85*X10+V10*'Retirement Planning'!$J$46+T10</f>
        <v>5248.4093672381123</v>
      </c>
      <c r="AA10" s="7">
        <v>925</v>
      </c>
      <c r="AB10" s="104">
        <f ca="1">AA10/Z10</f>
        <v>0.1762438741486291</v>
      </c>
      <c r="AC10" s="7">
        <f>IF($B10&lt;65,'Retirement Planning'!$J$28,0)</f>
        <v>583</v>
      </c>
      <c r="AD10" s="7">
        <f>IF(B10&lt;65,'Retirement Planning'!$J$29/12,0)</f>
        <v>291.66666666666669</v>
      </c>
      <c r="AE10" s="22">
        <f>'Retirement Planning'!$J$31/12</f>
        <v>58.333333333333336</v>
      </c>
      <c r="AF10" s="22">
        <f>'Retirement Planning'!$J$32/12</f>
        <v>66.666666666666671</v>
      </c>
      <c r="AG10" s="7">
        <f>IF($B10&gt;64.9,'Retirement Planning'!$J$39/12,0)</f>
        <v>0</v>
      </c>
      <c r="AH10" s="7">
        <f>IF($B10&gt;64.9,'Retirement Planning'!$J$40/12,0)</f>
        <v>0</v>
      </c>
      <c r="AI10" s="7">
        <f>IF($B10&gt;64.9,'Retirement Planning'!$J$41/12,0)</f>
        <v>0</v>
      </c>
      <c r="AJ10" s="7">
        <f>AC10+AD10+AE10+AF10+AG10+AH10+AI10-S10-Q10</f>
        <v>0</v>
      </c>
      <c r="AK10" s="60" t="s">
        <v>117</v>
      </c>
      <c r="AL10" s="4" t="s">
        <v>117</v>
      </c>
      <c r="AM10" s="7">
        <f ca="1">AA10+Y10+AC10+AD10+AE10+AF10+AG10+AH10+AI10-X10-S10-Q10-O10-M10-K10-G10-E10-V10-T10</f>
        <v>6.8212102632969618E-13</v>
      </c>
      <c r="AN10" s="7">
        <f ca="1">AI10+AH10+AG10+AF10+AE10+AD10+AC10+AA10+Y10</f>
        <v>7116.1948837563123</v>
      </c>
      <c r="AO10" s="7">
        <f>AC10+AD10+AE10+AF10+AG10+AH10+AI10</f>
        <v>999.66666666666674</v>
      </c>
    </row>
    <row r="11" spans="1:41" x14ac:dyDescent="0.2">
      <c r="A11">
        <f>IF(AND(B11&gt;59.5,B10&lt;59.6),ROW(B11),A10)</f>
        <v>0</v>
      </c>
      <c r="B11" s="54">
        <f>(INT((((YEAR(C11)-YEAR(DATE(1970,10,16)))*12+MONTH(C11)-MONTH(DATE(1970,10,16)))/12)*10))/10</f>
        <v>56.4</v>
      </c>
      <c r="C11" s="55">
        <f>DATE(YEAR(C10),MONTH(C10)+1,1)</f>
        <v>46447</v>
      </c>
      <c r="D11" s="57">
        <f ca="1">IF(AND(B10&lt;59.5,OR(B11&gt;59.5,B11=59.5)),(D10-E10+J10-K10)*(1+'Retirement Planning'!$J$23/12),(D10-E10)*(1+'Retirement Planning'!$J$23/12))</f>
        <v>161766.62019393433</v>
      </c>
      <c r="E11" s="58">
        <f t="shared" ref="E11:E74" ca="1" si="0">MIN(D11,MAX(0,Y11+AA11+AJ11-X11-V11-M11-G11-K11))</f>
        <v>627.55579507339735</v>
      </c>
      <c r="F11" s="57">
        <f>IF(AND(OR(B11&gt;59.5,B11=59.5),B10&lt;59.5),(F10-G10+L10-M10+N10-O10)*(1+'Retirement Planning'!$J$23/12),(F10-G10)*(1+'Retirement Planning'!$J$23/12))</f>
        <v>11453.553369896317</v>
      </c>
      <c r="G11" s="58">
        <f>IF(AND($B$10&lt;55,B11&lt;59.5),'Retirement Planning'!$J$25,IF(OR(B11&gt;59.5,B11=59.5),MAX(0,MIN(F11,IF(D11&lt;2500,((Y11+AJ11+AA11))-X11,((Y11+AJ11+AA11)*'Retirement Planning'!$J$44)-X11))),0))</f>
        <v>0</v>
      </c>
      <c r="H11" s="255">
        <f>IF(MONTH(C11)=1,IF(B11&gt;69.5,F11/(INDEX('Retirement Planning'!D$1:D$264,(160+INT(B11))))/12,0),IF(F11=0,0,H10))</f>
        <v>0</v>
      </c>
      <c r="I11" s="262">
        <f t="shared" ref="I11:I74" si="1">MAX(0,H11-G11)</f>
        <v>0</v>
      </c>
      <c r="J11" s="254">
        <f>IF(AND(B10&lt;59.5,OR(B11=59.5,B11&gt;59.5)),0,(J10-K10)*(1+'Retirement Planning'!$J$23/12))</f>
        <v>31687.306797415607</v>
      </c>
      <c r="K11" s="58">
        <f t="shared" ref="K11:K74" si="2">IF(B11&gt;59.5,MAX(0,MIN(J11,AA11+Y11+AJ11-O11-M11-G11-X11)),0)</f>
        <v>0</v>
      </c>
      <c r="L11" s="57">
        <f ca="1">IF(AND(OR(B11&gt;59.5,B11=59.5),B10&lt;59.5),0,(L10-M10)*(1+'Retirement Planning'!$J$23/12))</f>
        <v>953582.59288530529</v>
      </c>
      <c r="M11" s="59">
        <f ca="1">IF(AND($B$10&lt;55,B11&lt;59.5),0,IF(B11&lt;59.5,MAX(0,MIN((($Y11+$AJ11+AA11)*'Retirement Planning'!$J$44)-$G11-$X11,L11)),0))</f>
        <v>4954.3878558426131</v>
      </c>
      <c r="N11" s="57">
        <f>(N10-O10)*(1+'Retirement Planning'!$J$23/12)</f>
        <v>0</v>
      </c>
      <c r="O11" s="59">
        <v>0</v>
      </c>
      <c r="P11" s="57">
        <f>P10-Q10</f>
        <v>42858.666666666664</v>
      </c>
      <c r="Q11" s="58">
        <f>MIN(AC11+AE11+AH11,P11)</f>
        <v>641.33333333333337</v>
      </c>
      <c r="R11" s="57">
        <f ca="1">(R10-S10-T10)*(1+'Retirement Planning'!$J$23/12)</f>
        <v>170550.69578960293</v>
      </c>
      <c r="S11" s="58">
        <f ca="1">MIN(AD11+AF11+AG11+AI11,R11)</f>
        <v>358.33333333333337</v>
      </c>
      <c r="T11" s="273">
        <f t="shared" ref="T11:T74" ca="1" si="3">MIN(AN11-E11-G11-K11-M11-O11-Q11-S11-V11-X11,R11-S11)</f>
        <v>2.2737367544323206E-13</v>
      </c>
      <c r="U11" s="57">
        <f ca="1">(U10-V10)*(1+'Retirement Planning'!$J$23/12)</f>
        <v>162289.87160576155</v>
      </c>
      <c r="V11" s="24">
        <f ca="1">IF(AND($B$10&lt;55,B11&lt;59.5),MIN(U11,MAX(0,(Y11+AA11+AJ11-G11)*'Retirement Planning'!$J$45)),IF(B11&lt;59.5,(MIN(U11,MAX(0,((Y11+AA11+AJ11)-G11-M11)*'Retirement Planning'!$J$45))),MIN(U11,MAX(0,(Y11+AA11+AJ11-G11-M11-K11-X11)*'Retirement Planning'!$J$45))))</f>
        <v>534.58456617363481</v>
      </c>
      <c r="W11" s="7">
        <f t="shared" ref="W11:W74" ca="1" si="4">D11+F11+J11+L11+N11+P11+R11+U11</f>
        <v>1534189.3073085828</v>
      </c>
      <c r="X11" s="7">
        <f>(IF(B11&gt;'Retirement Planning'!$J$34,IF('Retirement Planning'!$J$34=70,'Retirement Planning'!$J$37/12,IF('Retirement Planning'!$J$34=67,'Retirement Planning'!$J$36/12,'Retirement Planning'!$J$35/12)),0))*'Retirement Planning'!$J$38</f>
        <v>0</v>
      </c>
      <c r="Y11" s="7">
        <f ca="1">'Retirement Planning'!$F$35*((1+'Retirement Planning'!$J$24)^(YEAR('Projected Retirement Drawdown'!C11)-YEAR(TODAY())))</f>
        <v>5191.5282170896453</v>
      </c>
      <c r="Z11" s="7">
        <f ca="1">G11+M11+O11+0.85*X11+V11*'Retirement Planning'!$J$46+T11</f>
        <v>5248.4093672381123</v>
      </c>
      <c r="AA11" s="7">
        <f>AA10</f>
        <v>925</v>
      </c>
      <c r="AB11" s="104">
        <f t="shared" ref="AB11:AB32" ca="1" si="5">AA11/Z11</f>
        <v>0.1762438741486291</v>
      </c>
      <c r="AC11" s="7">
        <f>IF(B11&lt;65,'Retirement Planning'!$J$28,0)</f>
        <v>583</v>
      </c>
      <c r="AD11" s="7">
        <f>IF(B11&lt;65,'Retirement Planning'!$J$29/12,0)</f>
        <v>291.66666666666669</v>
      </c>
      <c r="AE11" s="22">
        <f>'Retirement Planning'!$J$31/12</f>
        <v>58.333333333333336</v>
      </c>
      <c r="AF11" s="22">
        <f>'Retirement Planning'!$J$32/12</f>
        <v>66.666666666666671</v>
      </c>
      <c r="AG11" s="7">
        <f>IF($B11&gt;64.9,'Retirement Planning'!$J$39/12,0)</f>
        <v>0</v>
      </c>
      <c r="AH11" s="7">
        <f>IF($B11&gt;64.9,'Retirement Planning'!$J$40/12,0)</f>
        <v>0</v>
      </c>
      <c r="AI11" s="7">
        <f>IF($B11&gt;64.9,'Retirement Planning'!$J$41/12,0)</f>
        <v>0</v>
      </c>
      <c r="AJ11" s="7">
        <f t="shared" ref="AJ11:AJ74" ca="1" si="6">AC11+AD11+AE11+AF11+AG11+AH11+AI11-S11-Q11</f>
        <v>0</v>
      </c>
      <c r="AK11" s="3" t="str">
        <f t="shared" ref="AK11:AK74" ca="1" si="7">IF(AND(R11&lt;AN11,R10&gt;AN10),C11,AK10)</f>
        <v>N/A</v>
      </c>
      <c r="AL11" s="6" t="str">
        <f t="shared" ref="AL11:AL74" ca="1" si="8">IF(AND(R11&lt;AN11,R10&gt;AN10),B11,AL10)</f>
        <v>N/A</v>
      </c>
      <c r="AM11" s="7">
        <f t="shared" ref="AM11:AM74" ca="1" si="9">AA11+Y11+AC11+AD11+AE11+AF11+AG11+AH11+AI11-X11-S11-Q11-O11-M11-K11-G11-E11-V11-T11</f>
        <v>6.8212102632969618E-13</v>
      </c>
      <c r="AN11" s="7">
        <f t="shared" ref="AN11:AN74" ca="1" si="10">AI11+AH11+AG11+AF11+AE11+AD11+AC11+AA11+Y11</f>
        <v>7116.1948837563123</v>
      </c>
      <c r="AO11" s="7">
        <f t="shared" ref="AO11:AO74" si="11">AC11+AD11+AE11+AF11+AG11+AH11+AI11</f>
        <v>999.66666666666674</v>
      </c>
    </row>
    <row r="12" spans="1:41" x14ac:dyDescent="0.2">
      <c r="A12">
        <f t="shared" ref="A12:A75" si="12">IF(AND(B12&gt;59.5,B11&lt;59.6),ROW(B12),A11)</f>
        <v>0</v>
      </c>
      <c r="B12" s="5">
        <f t="shared" ref="B12:B75" si="13">(INT((((YEAR(C12)-YEAR(DATE(1970,10,16)))*12+MONTH(C12)-MONTH(DATE(1970,10,16)))/12)*10))/10</f>
        <v>56.5</v>
      </c>
      <c r="C12" s="56">
        <f t="shared" ref="C12:C75" si="14">DATE(YEAR(C11),MONTH(C11)+1,1)</f>
        <v>46478</v>
      </c>
      <c r="D12" s="57">
        <f ca="1">IF(AND(B11&lt;59.5,OR(B12&gt;59.5,B12=59.5)),(D11-E11+J11-K11)*(1+'Retirement Planning'!$J$23/12),(D11-E11)*(1+'Retirement Planning'!$J$23/12))</f>
        <v>162280.46610501953</v>
      </c>
      <c r="E12" s="58">
        <f t="shared" ca="1" si="0"/>
        <v>627.55579507339735</v>
      </c>
      <c r="F12" s="57">
        <f>IF(AND(OR(B12&gt;59.5,B12=59.5),B11&lt;59.5),(F11-G11+L11-M11+N11-O11)*(1+'Retirement Planning'!$J$23/12),(F11-G11)*(1+'Retirement Planning'!$J$23/12))</f>
        <v>11534.682706266416</v>
      </c>
      <c r="G12" s="58">
        <f>IF(AND($B$10&lt;55,B12&lt;59.5),'Retirement Planning'!$J$25,IF(OR(B12&gt;59.5,B12=59.5),MAX(0,MIN(F12,IF(D12&lt;2500,((Y12+AJ12+AA12))-X12,((Y12+AJ12+AA12)*'Retirement Planning'!$J$44)-X12))),0))</f>
        <v>0</v>
      </c>
      <c r="H12" s="255">
        <f>IF(MONTH(C12)=1,IF(B12&gt;69.5,F12/(INDEX('Retirement Planning'!D$1:D$264,(160+INT(B12))))/12,0),IF(F12=0,0,H11))</f>
        <v>0</v>
      </c>
      <c r="I12" s="262">
        <f t="shared" si="1"/>
        <v>0</v>
      </c>
      <c r="J12" s="254">
        <f>IF(AND(B11&lt;59.5,OR(B12=59.5,B12&gt;59.5)),0,(J11-K11)*(1+'Retirement Planning'!$J$23/12))</f>
        <v>31911.7585538973</v>
      </c>
      <c r="K12" s="58">
        <f t="shared" si="2"/>
        <v>0</v>
      </c>
      <c r="L12" s="57">
        <f ca="1">IF(AND(OR(B12&gt;59.5,B12=59.5),B11&lt;59.5),0,(L11-M11)*(1+'Retirement Planning'!$J$23/12))</f>
        <v>955347.65481508803</v>
      </c>
      <c r="M12" s="59">
        <f ca="1">IF(AND($B$10&lt;55,B12&lt;59.5),0,IF(B12&lt;59.5,MAX(0,MIN((($Y12+$AJ12+AA12)*'Retirement Planning'!$J$44)-$G12-$X12,L12)),0))</f>
        <v>4954.3878558426131</v>
      </c>
      <c r="N12" s="57">
        <f>(N11-O11)*(1+'Retirement Planning'!$J$23/12)</f>
        <v>0</v>
      </c>
      <c r="O12" s="59">
        <v>0</v>
      </c>
      <c r="P12" s="57">
        <f t="shared" ref="P12:P75" si="15">P11-Q11</f>
        <v>42217.333333333328</v>
      </c>
      <c r="Q12" s="58">
        <f t="shared" ref="Q12:Q75" si="16">MIN(AC12+AE12+AH12,P12)</f>
        <v>641.33333333333337</v>
      </c>
      <c r="R12" s="57">
        <f ca="1">(R11-S11-T11)*(1+'Retirement Planning'!$J$23/12)</f>
        <v>171397.89169033483</v>
      </c>
      <c r="S12" s="58">
        <f t="shared" ref="S12:S75" ca="1" si="17">MIN(AD12+AF12+AG12+AI12,R12)</f>
        <v>358.33333333333337</v>
      </c>
      <c r="T12" s="273">
        <f t="shared" ca="1" si="3"/>
        <v>2.2737367544323206E-13</v>
      </c>
      <c r="U12" s="57">
        <f ca="1">(U11-V11)*(1+'Retirement Planning'!$J$23/12)</f>
        <v>162901.05365611834</v>
      </c>
      <c r="V12" s="24">
        <f ca="1">IF(AND($B$10&lt;55,B12&lt;59.5),MIN(U12,MAX(0,(Y12+AA12+AJ12-G12)*'Retirement Planning'!$J$45)),IF(B12&lt;59.5,(MIN(U12,MAX(0,((Y12+AA12+AJ12)-G12-M12)*'Retirement Planning'!$J$45))),MIN(U12,MAX(0,(Y12+AA12+AJ12-G12-M12-K12-X12)*'Retirement Planning'!$J$45))))</f>
        <v>534.58456617363481</v>
      </c>
      <c r="W12" s="7">
        <f t="shared" ca="1" si="4"/>
        <v>1537590.8408600576</v>
      </c>
      <c r="X12" s="7">
        <f>(IF(B12&gt;'Retirement Planning'!$J$34,IF('Retirement Planning'!$J$34=70,'Retirement Planning'!$J$37/12,IF('Retirement Planning'!$J$34=67,'Retirement Planning'!$J$36/12,'Retirement Planning'!$J$35/12)),0))*'Retirement Planning'!$J$38</f>
        <v>0</v>
      </c>
      <c r="Y12" s="7">
        <f ca="1">'Retirement Planning'!$F$35*((1+'Retirement Planning'!$J$24)^(YEAR('Projected Retirement Drawdown'!C12)-YEAR(TODAY())))</f>
        <v>5191.5282170896453</v>
      </c>
      <c r="Z12" s="7">
        <f ca="1">G12+M12+O12+0.85*X12+V12*'Retirement Planning'!$J$46+T12</f>
        <v>5248.4093672381123</v>
      </c>
      <c r="AA12" s="7">
        <f t="shared" ref="AA12:AA21" si="18">AA11</f>
        <v>925</v>
      </c>
      <c r="AB12" s="104">
        <f t="shared" ca="1" si="5"/>
        <v>0.1762438741486291</v>
      </c>
      <c r="AC12" s="7">
        <f>IF(B12&lt;65,'Retirement Planning'!$J$28,0)</f>
        <v>583</v>
      </c>
      <c r="AD12" s="7">
        <f>IF(B12&lt;65,'Retirement Planning'!$J$29/12,0)</f>
        <v>291.66666666666669</v>
      </c>
      <c r="AE12" s="22">
        <f>'Retirement Planning'!$J$31/12</f>
        <v>58.333333333333336</v>
      </c>
      <c r="AF12" s="22">
        <f>'Retirement Planning'!$J$32/12</f>
        <v>66.666666666666671</v>
      </c>
      <c r="AG12" s="7">
        <f>IF($B12&gt;64.9,'Retirement Planning'!$J$39/12,0)</f>
        <v>0</v>
      </c>
      <c r="AH12" s="7">
        <f>IF($B12&gt;64.9,'Retirement Planning'!$J$40/12,0)</f>
        <v>0</v>
      </c>
      <c r="AI12" s="7">
        <f>IF($B12&gt;64.9,'Retirement Planning'!$J$41/12,0)</f>
        <v>0</v>
      </c>
      <c r="AJ12" s="7">
        <f t="shared" ca="1" si="6"/>
        <v>0</v>
      </c>
      <c r="AK12" s="3" t="str">
        <f t="shared" ca="1" si="7"/>
        <v>N/A</v>
      </c>
      <c r="AL12" s="6" t="str">
        <f t="shared" ca="1" si="8"/>
        <v>N/A</v>
      </c>
      <c r="AM12" s="7">
        <f t="shared" ca="1" si="9"/>
        <v>6.8212102632969618E-13</v>
      </c>
      <c r="AN12" s="7">
        <f t="shared" ca="1" si="10"/>
        <v>7116.1948837563123</v>
      </c>
      <c r="AO12" s="7">
        <f t="shared" si="11"/>
        <v>999.66666666666674</v>
      </c>
    </row>
    <row r="13" spans="1:41" x14ac:dyDescent="0.2">
      <c r="A13">
        <f t="shared" si="12"/>
        <v>0</v>
      </c>
      <c r="B13" s="5">
        <f t="shared" si="13"/>
        <v>56.5</v>
      </c>
      <c r="C13" s="56">
        <f t="shared" si="14"/>
        <v>46508</v>
      </c>
      <c r="D13" s="57">
        <f ca="1">IF(AND(B12&lt;59.5,OR(B13&gt;59.5,B13=59.5)),(D12-E12+J12-K12)*(1+'Retirement Planning'!$J$23/12),(D12-E12)*(1+'Retirement Planning'!$J$23/12))</f>
        <v>162797.95175797492</v>
      </c>
      <c r="E13" s="58">
        <f t="shared" ca="1" si="0"/>
        <v>627.55579507339735</v>
      </c>
      <c r="F13" s="57">
        <f>IF(AND(OR(B13&gt;59.5,B13=59.5),B12&lt;59.5),(F12-G12+L12-M12+N12-O12)*(1+'Retirement Planning'!$J$23/12),(F12-G12)*(1+'Retirement Planning'!$J$23/12))</f>
        <v>11616.386708769136</v>
      </c>
      <c r="G13" s="58">
        <f>IF(AND($B$10&lt;55,B13&lt;59.5),'Retirement Planning'!$J$25,IF(OR(B13&gt;59.5,B13=59.5),MAX(0,MIN(F13,IF(D13&lt;2500,((Y13+AJ13+AA13))-X13,((Y13+AJ13+AA13)*'Retirement Planning'!$J$44)-X13))),0))</f>
        <v>0</v>
      </c>
      <c r="H13" s="255">
        <f>IF(MONTH(C13)=1,IF(B13&gt;69.5,F13/(INDEX('Retirement Planning'!D$1:D$264,(160+INT(B13))))/12,0),IF(F13=0,0,H12))</f>
        <v>0</v>
      </c>
      <c r="I13" s="262">
        <f t="shared" si="1"/>
        <v>0</v>
      </c>
      <c r="J13" s="254">
        <f>IF(AND(B12&lt;59.5,OR(B13=59.5,B13&gt;59.5)),0,(J12-K12)*(1+'Retirement Planning'!$J$23/12))</f>
        <v>32137.800176987406</v>
      </c>
      <c r="K13" s="58">
        <f t="shared" si="2"/>
        <v>0</v>
      </c>
      <c r="L13" s="57">
        <f ca="1">IF(AND(OR(B13&gt;59.5,B13=59.5),B12&lt;59.5),0,(L12-M12)*(1+'Retirement Planning'!$J$23/12))</f>
        <v>957125.21926687344</v>
      </c>
      <c r="M13" s="59">
        <f ca="1">IF(AND($B$10&lt;55,B13&lt;59.5),0,IF(B13&lt;59.5,MAX(0,MIN((($Y13+$AJ13+AA13)*'Retirement Planning'!$J$44)-$G13-$X13,L13)),0))</f>
        <v>4954.3878558426131</v>
      </c>
      <c r="N13" s="57">
        <f>(N12-O12)*(1+'Retirement Planning'!$J$23/12)</f>
        <v>0</v>
      </c>
      <c r="O13" s="59">
        <f>IF(B13&gt;59.5,MAX(0,MIN((AA13+$Y13+$AJ13)*(IF(D13&lt;MIN(E1:E12),1,'Retirement Planning'!$J$44))-M13-$G13-$X13-D13,N13)),0)</f>
        <v>0</v>
      </c>
      <c r="P13" s="57">
        <f t="shared" si="15"/>
        <v>41575.999999999993</v>
      </c>
      <c r="Q13" s="58">
        <f t="shared" si="16"/>
        <v>641.33333333333337</v>
      </c>
      <c r="R13" s="57">
        <f ca="1">(R12-S12-T12)*(1+'Retirement Planning'!$J$23/12)</f>
        <v>172251.08856203026</v>
      </c>
      <c r="S13" s="58">
        <f t="shared" ca="1" si="17"/>
        <v>358.33333333333337</v>
      </c>
      <c r="T13" s="273">
        <f t="shared" ca="1" si="3"/>
        <v>2.2737367544323206E-13</v>
      </c>
      <c r="U13" s="57">
        <f ca="1">(U12-V12)*(1+'Retirement Planning'!$J$23/12)</f>
        <v>163516.56491266514</v>
      </c>
      <c r="V13" s="24">
        <f ca="1">IF(AND($B$10&lt;55,B13&lt;59.5),MIN(U13,MAX(0,(Y13+AA13+AJ13-G13)*'Retirement Planning'!$J$45)),IF(B13&lt;59.5,(MIN(U13,MAX(0,((Y13+AA13+AJ13)-G13-M13)*'Retirement Planning'!$J$45))),MIN(U13,MAX(0,(Y13+AA13+AJ13-G13-M13-K13-X13)*'Retirement Planning'!$J$45))))</f>
        <v>534.58456617363481</v>
      </c>
      <c r="W13" s="7">
        <f t="shared" ca="1" si="4"/>
        <v>1541021.0113853004</v>
      </c>
      <c r="X13" s="7">
        <f>(IF(B13&gt;'Retirement Planning'!$J$34,IF('Retirement Planning'!$J$34=70,'Retirement Planning'!$J$37/12,IF('Retirement Planning'!$J$34=67,'Retirement Planning'!$J$36/12,'Retirement Planning'!$J$35/12)),0))*'Retirement Planning'!$J$38</f>
        <v>0</v>
      </c>
      <c r="Y13" s="7">
        <f ca="1">'Retirement Planning'!$F$35*((1+'Retirement Planning'!$J$24)^(YEAR('Projected Retirement Drawdown'!C13)-YEAR(TODAY())))</f>
        <v>5191.5282170896453</v>
      </c>
      <c r="Z13" s="7">
        <f ca="1">G13+M13+O13+0.85*X13+V13*'Retirement Planning'!$J$46+T13</f>
        <v>5248.4093672381123</v>
      </c>
      <c r="AA13" s="7">
        <f t="shared" si="18"/>
        <v>925</v>
      </c>
      <c r="AB13" s="104">
        <f t="shared" ca="1" si="5"/>
        <v>0.1762438741486291</v>
      </c>
      <c r="AC13" s="7">
        <f>IF(B13&lt;65,'Retirement Planning'!$J$28,0)</f>
        <v>583</v>
      </c>
      <c r="AD13" s="7">
        <f>IF(B13&lt;65,'Retirement Planning'!$J$29/12,0)</f>
        <v>291.66666666666669</v>
      </c>
      <c r="AE13" s="22">
        <f>'Retirement Planning'!$J$31/12</f>
        <v>58.333333333333336</v>
      </c>
      <c r="AF13" s="22">
        <f>'Retirement Planning'!$J$32/12</f>
        <v>66.666666666666671</v>
      </c>
      <c r="AG13" s="7">
        <f>IF($B13&gt;64.9,'Retirement Planning'!$J$39/12,0)</f>
        <v>0</v>
      </c>
      <c r="AH13" s="7">
        <f>IF($B13&gt;64.9,'Retirement Planning'!$J$40/12,0)</f>
        <v>0</v>
      </c>
      <c r="AI13" s="7">
        <f>IF($B13&gt;64.9,'Retirement Planning'!$J$41/12,0)</f>
        <v>0</v>
      </c>
      <c r="AJ13" s="7">
        <f t="shared" ca="1" si="6"/>
        <v>0</v>
      </c>
      <c r="AK13" s="3" t="str">
        <f t="shared" ca="1" si="7"/>
        <v>N/A</v>
      </c>
      <c r="AL13" s="6" t="str">
        <f t="shared" ca="1" si="8"/>
        <v>N/A</v>
      </c>
      <c r="AM13" s="7">
        <f t="shared" ca="1" si="9"/>
        <v>6.8212102632969618E-13</v>
      </c>
      <c r="AN13" s="7">
        <f t="shared" ca="1" si="10"/>
        <v>7116.1948837563123</v>
      </c>
      <c r="AO13" s="7">
        <f t="shared" si="11"/>
        <v>999.66666666666674</v>
      </c>
    </row>
    <row r="14" spans="1:41" x14ac:dyDescent="0.2">
      <c r="A14">
        <f t="shared" si="12"/>
        <v>0</v>
      </c>
      <c r="B14" s="5">
        <f t="shared" si="13"/>
        <v>56.6</v>
      </c>
      <c r="C14" s="56">
        <f t="shared" si="14"/>
        <v>46539</v>
      </c>
      <c r="D14" s="57">
        <f ca="1">IF(AND(B13&lt;59.5,OR(B14&gt;59.5,B14=59.5)),(D13-E13+J13-K13)*(1+'Retirement Planning'!$J$23/12),(D13-E13)*(1+'Retirement Planning'!$J$23/12))</f>
        <v>163319.10293430541</v>
      </c>
      <c r="E14" s="58">
        <f t="shared" ca="1" si="0"/>
        <v>627.55579507339735</v>
      </c>
      <c r="F14" s="57">
        <f>IF(AND(OR(B14&gt;59.5,B14=59.5),B13&lt;59.5),(F13-G13+L13-M13+N13-O13)*(1+'Retirement Planning'!$J$23/12),(F13-G13)*(1+'Retirement Planning'!$J$23/12))</f>
        <v>11698.66944795625</v>
      </c>
      <c r="G14" s="58">
        <f>IF(AND($B$10&lt;55,B14&lt;59.5),'Retirement Planning'!$J$25,IF(OR(B14&gt;59.5,B14=59.5),MAX(0,MIN(F14,IF(D14&lt;2500,((Y14+AJ14+AA14))-X14,((Y14+AJ14+AA14)*'Retirement Planning'!$J$44)-X14))),0))</f>
        <v>0</v>
      </c>
      <c r="H14" s="255">
        <f>IF(MONTH(C14)=1,IF(B14&gt;69.5,F14/(INDEX('Retirement Planning'!D$1:D$264,(160+INT(B14))))/12,0),IF(F14=0,0,H13))</f>
        <v>0</v>
      </c>
      <c r="I14" s="262">
        <f t="shared" si="1"/>
        <v>0</v>
      </c>
      <c r="J14" s="254">
        <f>IF(AND(B13&lt;59.5,OR(B14=59.5,B14&gt;59.5)),0,(J13-K13)*(1+'Retirement Planning'!$J$23/12))</f>
        <v>32365.442928241067</v>
      </c>
      <c r="K14" s="58">
        <f t="shared" si="2"/>
        <v>0</v>
      </c>
      <c r="L14" s="57">
        <f ca="1">IF(AND(OR(B14&gt;59.5,B14=59.5),B13&lt;59.5),0,(L13-M13)*(1+'Retirement Planning'!$J$23/12))</f>
        <v>958915.37480019231</v>
      </c>
      <c r="M14" s="59">
        <f ca="1">IF(AND($B$10&lt;55,B14&lt;59.5),0,IF(B14&lt;59.5,MAX(0,MIN((($Y14+$AJ14+AA14)*'Retirement Planning'!$J$44)-$G14-$X14,L14)),0))</f>
        <v>4954.3878558426131</v>
      </c>
      <c r="N14" s="57">
        <f>(N13-O13)*(1+'Retirement Planning'!$J$23/12)</f>
        <v>0</v>
      </c>
      <c r="O14" s="59">
        <f>IF(B14&gt;59.5,MAX(0,MIN((AA14+$Y14+$AJ14)*(IF(D14&lt;MIN(E2:E13),1,'Retirement Planning'!$J$44))-M14-$G14-$X14-D14,N14)),0)</f>
        <v>0</v>
      </c>
      <c r="P14" s="57">
        <f t="shared" si="15"/>
        <v>40934.666666666657</v>
      </c>
      <c r="Q14" s="58">
        <f t="shared" si="16"/>
        <v>641.33333333333337</v>
      </c>
      <c r="R14" s="57">
        <f ca="1">(R13-S13-T13)*(1+'Retirement Planning'!$J$23/12)</f>
        <v>173110.32891156684</v>
      </c>
      <c r="S14" s="58">
        <f t="shared" ca="1" si="17"/>
        <v>358.33333333333337</v>
      </c>
      <c r="T14" s="273">
        <f t="shared" ca="1" si="3"/>
        <v>2.2737367544323206E-13</v>
      </c>
      <c r="U14" s="57">
        <f ca="1">(U13-V13)*(1+'Retirement Planning'!$J$23/12)</f>
        <v>164136.43604061249</v>
      </c>
      <c r="V14" s="24">
        <f ca="1">IF(AND($B$10&lt;55,B14&lt;59.5),MIN(U14,MAX(0,(Y14+AA14+AJ14-G14)*'Retirement Planning'!$J$45)),IF(B14&lt;59.5,(MIN(U14,MAX(0,((Y14+AA14+AJ14)-G14-M14)*'Retirement Planning'!$J$45))),MIN(U14,MAX(0,(Y14+AA14+AJ14-G14-M14-K14-X14)*'Retirement Planning'!$J$45))))</f>
        <v>534.58456617363481</v>
      </c>
      <c r="W14" s="7">
        <f t="shared" ca="1" si="4"/>
        <v>1544480.021729541</v>
      </c>
      <c r="X14" s="7">
        <f>(IF(B14&gt;'Retirement Planning'!$J$34,IF('Retirement Planning'!$J$34=70,'Retirement Planning'!$J$37/12,IF('Retirement Planning'!$J$34=67,'Retirement Planning'!$J$36/12,'Retirement Planning'!$J$35/12)),0))*'Retirement Planning'!$J$38</f>
        <v>0</v>
      </c>
      <c r="Y14" s="7">
        <f ca="1">'Retirement Planning'!$F$35*((1+'Retirement Planning'!$J$24)^(YEAR('Projected Retirement Drawdown'!C14)-YEAR(TODAY())))</f>
        <v>5191.5282170896453</v>
      </c>
      <c r="Z14" s="7">
        <f ca="1">G14+M14+O14+0.85*X14+V14*'Retirement Planning'!$J$46+T14</f>
        <v>5248.4093672381123</v>
      </c>
      <c r="AA14" s="7">
        <f t="shared" si="18"/>
        <v>925</v>
      </c>
      <c r="AB14" s="104">
        <f t="shared" ca="1" si="5"/>
        <v>0.1762438741486291</v>
      </c>
      <c r="AC14" s="7">
        <f>IF(B14&lt;65,'Retirement Planning'!$J$28,0)</f>
        <v>583</v>
      </c>
      <c r="AD14" s="7">
        <f>IF(B14&lt;65,'Retirement Planning'!$J$29/12,0)</f>
        <v>291.66666666666669</v>
      </c>
      <c r="AE14" s="22">
        <f>'Retirement Planning'!$J$31/12</f>
        <v>58.333333333333336</v>
      </c>
      <c r="AF14" s="22">
        <f>'Retirement Planning'!$J$32/12</f>
        <v>66.666666666666671</v>
      </c>
      <c r="AG14" s="7">
        <f>IF($B14&gt;64.9,'Retirement Planning'!$J$39/12,0)</f>
        <v>0</v>
      </c>
      <c r="AH14" s="7">
        <f>IF($B14&gt;64.9,'Retirement Planning'!$J$40/12,0)</f>
        <v>0</v>
      </c>
      <c r="AI14" s="7">
        <f>IF($B14&gt;64.9,'Retirement Planning'!$J$41/12,0)</f>
        <v>0</v>
      </c>
      <c r="AJ14" s="7">
        <f t="shared" ca="1" si="6"/>
        <v>0</v>
      </c>
      <c r="AK14" s="3" t="str">
        <f t="shared" ca="1" si="7"/>
        <v>N/A</v>
      </c>
      <c r="AL14" s="6" t="str">
        <f t="shared" ca="1" si="8"/>
        <v>N/A</v>
      </c>
      <c r="AM14" s="7">
        <f t="shared" ca="1" si="9"/>
        <v>6.8212102632969618E-13</v>
      </c>
      <c r="AN14" s="7">
        <f t="shared" ca="1" si="10"/>
        <v>7116.1948837563123</v>
      </c>
      <c r="AO14" s="7">
        <f t="shared" si="11"/>
        <v>999.66666666666674</v>
      </c>
    </row>
    <row r="15" spans="1:41" x14ac:dyDescent="0.2">
      <c r="A15">
        <f t="shared" si="12"/>
        <v>0</v>
      </c>
      <c r="B15" s="5">
        <f t="shared" si="13"/>
        <v>56.7</v>
      </c>
      <c r="C15" s="56">
        <f t="shared" si="14"/>
        <v>46569</v>
      </c>
      <c r="D15" s="57">
        <f ca="1">IF(AND(B14&lt;59.5,OR(B15&gt;59.5,B15=59.5)),(D14-E14+J14-K14)*(1+'Retirement Planning'!$J$23/12),(D14-E14)*(1+'Retirement Planning'!$J$23/12))</f>
        <v>163843.94559813492</v>
      </c>
      <c r="E15" s="58">
        <f t="shared" ca="1" si="0"/>
        <v>627.55579507339735</v>
      </c>
      <c r="F15" s="57">
        <f>IF(AND(OR(B15&gt;59.5,B15=59.5),B14&lt;59.5),(F14-G14+L14-M14+N14-O14)*(1+'Retirement Planning'!$J$23/12),(F14-G14)*(1+'Retirement Planning'!$J$23/12))</f>
        <v>11781.535023212607</v>
      </c>
      <c r="G15" s="58">
        <f>IF(AND($B$10&lt;55,B15&lt;59.5),'Retirement Planning'!$J$25,IF(OR(B15&gt;59.5,B15=59.5),MAX(0,MIN(F15,IF(D15&lt;2500,((Y15+AJ15+AA15))-X15,((Y15+AJ15+AA15)*'Retirement Planning'!$J$44)-X15))),0))</f>
        <v>0</v>
      </c>
      <c r="H15" s="255">
        <f>IF(MONTH(C15)=1,IF(B15&gt;69.5,F15/(INDEX('Retirement Planning'!D$1:D$264,(160+INT(B15))))/12,0),IF(F15=0,0,H14))</f>
        <v>0</v>
      </c>
      <c r="I15" s="262">
        <f t="shared" si="1"/>
        <v>0</v>
      </c>
      <c r="J15" s="254">
        <f>IF(AND(B14&lt;59.5,OR(B15=59.5,B15&gt;59.5)),0,(J14-K14)*(1+'Retirement Planning'!$J$23/12))</f>
        <v>32594.698148982774</v>
      </c>
      <c r="K15" s="58">
        <f t="shared" si="2"/>
        <v>0</v>
      </c>
      <c r="L15" s="57">
        <f ca="1">IF(AND(OR(B15&gt;59.5,B15=59.5),B14&lt;59.5),0,(L14-M14)*(1+'Retirement Planning'!$J$23/12))</f>
        <v>960718.21060187218</v>
      </c>
      <c r="M15" s="59">
        <f ca="1">IF(AND($B$10&lt;55,B15&lt;59.5),0,IF(B15&lt;59.5,MAX(0,MIN((($Y15+$AJ15+AA15)*'Retirement Planning'!$J$44)-$G15-$X15,L15)),0))</f>
        <v>4954.3878558426131</v>
      </c>
      <c r="N15" s="57">
        <f>(N14-O14)*(1+'Retirement Planning'!$J$23/12)</f>
        <v>0</v>
      </c>
      <c r="O15" s="59">
        <f>IF(B15&gt;59.5,MAX(0,MIN((AA15+$Y15+$AJ15)*(IF(D15&lt;MIN(E3:E14),1,'Retirement Planning'!$J$44))-M15-$G15-$X15-D15,N15)),0)</f>
        <v>0</v>
      </c>
      <c r="P15" s="57">
        <f t="shared" si="15"/>
        <v>40293.333333333321</v>
      </c>
      <c r="Q15" s="58">
        <f t="shared" si="16"/>
        <v>641.33333333333337</v>
      </c>
      <c r="R15" s="57">
        <f ca="1">(R14-S14-T14)*(1+'Retirement Planning'!$J$23/12)</f>
        <v>173975.65554691266</v>
      </c>
      <c r="S15" s="58">
        <f t="shared" ca="1" si="17"/>
        <v>358.33333333333337</v>
      </c>
      <c r="T15" s="273">
        <f t="shared" ca="1" si="3"/>
        <v>2.2737367544323206E-13</v>
      </c>
      <c r="U15" s="57">
        <f ca="1">(U14-V14)*(1+'Retirement Planning'!$J$23/12)</f>
        <v>164760.69792238279</v>
      </c>
      <c r="V15" s="24">
        <f ca="1">IF(AND($B$10&lt;55,B15&lt;59.5),MIN(U15,MAX(0,(Y15+AA15+AJ15-G15)*'Retirement Planning'!$J$45)),IF(B15&lt;59.5,(MIN(U15,MAX(0,((Y15+AA15+AJ15)-G15-M15)*'Retirement Planning'!$J$45))),MIN(U15,MAX(0,(Y15+AA15+AJ15-G15-M15-K15-X15)*'Retirement Planning'!$J$45))))</f>
        <v>534.58456617363481</v>
      </c>
      <c r="W15" s="7">
        <f t="shared" ca="1" si="4"/>
        <v>1547968.0761748313</v>
      </c>
      <c r="X15" s="7">
        <f>(IF(B15&gt;'Retirement Planning'!$J$34,IF('Retirement Planning'!$J$34=70,'Retirement Planning'!$J$37/12,IF('Retirement Planning'!$J$34=67,'Retirement Planning'!$J$36/12,'Retirement Planning'!$J$35/12)),0))*'Retirement Planning'!$J$38</f>
        <v>0</v>
      </c>
      <c r="Y15" s="7">
        <f ca="1">'Retirement Planning'!$F$35*((1+'Retirement Planning'!$J$24)^(YEAR('Projected Retirement Drawdown'!C15)-YEAR(TODAY())))</f>
        <v>5191.5282170896453</v>
      </c>
      <c r="Z15" s="7">
        <f ca="1">G15+M15+O15+0.85*X15+V15*'Retirement Planning'!$J$46+T15</f>
        <v>5248.4093672381123</v>
      </c>
      <c r="AA15" s="7">
        <f t="shared" si="18"/>
        <v>925</v>
      </c>
      <c r="AB15" s="104">
        <f t="shared" ca="1" si="5"/>
        <v>0.1762438741486291</v>
      </c>
      <c r="AC15" s="7">
        <f>IF(B15&lt;65,'Retirement Planning'!$J$28,0)</f>
        <v>583</v>
      </c>
      <c r="AD15" s="7">
        <f>IF(B15&lt;65,'Retirement Planning'!$J$29/12,0)</f>
        <v>291.66666666666669</v>
      </c>
      <c r="AE15" s="22">
        <f>'Retirement Planning'!$J$31/12</f>
        <v>58.333333333333336</v>
      </c>
      <c r="AF15" s="22">
        <f>'Retirement Planning'!$J$32/12</f>
        <v>66.666666666666671</v>
      </c>
      <c r="AG15" s="7">
        <f>IF($B15&gt;64.9,'Retirement Planning'!$J$39/12,0)</f>
        <v>0</v>
      </c>
      <c r="AH15" s="7">
        <f>IF($B15&gt;64.9,'Retirement Planning'!$J$40/12,0)</f>
        <v>0</v>
      </c>
      <c r="AI15" s="7">
        <f>IF($B15&gt;64.9,'Retirement Planning'!$J$41/12,0)</f>
        <v>0</v>
      </c>
      <c r="AJ15" s="7">
        <f t="shared" ca="1" si="6"/>
        <v>0</v>
      </c>
      <c r="AK15" s="3" t="str">
        <f t="shared" ca="1" si="7"/>
        <v>N/A</v>
      </c>
      <c r="AL15" s="6" t="str">
        <f t="shared" ca="1" si="8"/>
        <v>N/A</v>
      </c>
      <c r="AM15" s="7">
        <f t="shared" ca="1" si="9"/>
        <v>6.8212102632969618E-13</v>
      </c>
      <c r="AN15" s="7">
        <f t="shared" ca="1" si="10"/>
        <v>7116.1948837563123</v>
      </c>
      <c r="AO15" s="7">
        <f t="shared" si="11"/>
        <v>999.66666666666674</v>
      </c>
    </row>
    <row r="16" spans="1:41" x14ac:dyDescent="0.2">
      <c r="A16">
        <f t="shared" si="12"/>
        <v>0</v>
      </c>
      <c r="B16" s="5">
        <f t="shared" si="13"/>
        <v>56.8</v>
      </c>
      <c r="C16" s="56">
        <f t="shared" si="14"/>
        <v>46600</v>
      </c>
      <c r="D16" s="57">
        <f ca="1">IF(AND(B15&lt;59.5,OR(B16&gt;59.5,B16=59.5)),(D15-E15+J15-K15)*(1+'Retirement Planning'!$J$23/12),(D15-E15)*(1+'Retirement Planning'!$J$23/12))</f>
        <v>164372.50589749988</v>
      </c>
      <c r="E16" s="58">
        <f t="shared" ca="1" si="0"/>
        <v>627.55579507339735</v>
      </c>
      <c r="F16" s="57">
        <f>IF(AND(OR(B16&gt;59.5,B16=59.5),B15&lt;59.5),(F15-G15+L15-M15+N15-O15)*(1+'Retirement Planning'!$J$23/12),(F15-G15)*(1+'Retirement Planning'!$J$23/12))</f>
        <v>11864.987562960363</v>
      </c>
      <c r="G16" s="58">
        <f>IF(AND($B$10&lt;55,B16&lt;59.5),'Retirement Planning'!$J$25,IF(OR(B16&gt;59.5,B16=59.5),MAX(0,MIN(F16,IF(D16&lt;2500,((Y16+AJ16+AA16))-X16,((Y16+AJ16+AA16)*'Retirement Planning'!$J$44)-X16))),0))</f>
        <v>0</v>
      </c>
      <c r="H16" s="255">
        <f>IF(MONTH(C16)=1,IF(B16&gt;69.5,F16/(INDEX('Retirement Planning'!D$1:D$264,(160+INT(B16))))/12,0),IF(F16=0,0,H15))</f>
        <v>0</v>
      </c>
      <c r="I16" s="262">
        <f t="shared" si="1"/>
        <v>0</v>
      </c>
      <c r="J16" s="254">
        <f>IF(AND(B15&lt;59.5,OR(B16=59.5,B16&gt;59.5)),0,(J15-K15)*(1+'Retirement Planning'!$J$23/12))</f>
        <v>32825.577260871403</v>
      </c>
      <c r="K16" s="58">
        <f t="shared" si="2"/>
        <v>0</v>
      </c>
      <c r="L16" s="57">
        <f ca="1">IF(AND(OR(B16&gt;59.5,B16=59.5),B15&lt;59.5),0,(L15-M15)*(1+'Retirement Planning'!$J$23/12))</f>
        <v>962533.81649048068</v>
      </c>
      <c r="M16" s="59">
        <f ca="1">IF(AND($B$10&lt;55,B16&lt;59.5),0,IF(B16&lt;59.5,MAX(0,MIN((($Y16+$AJ16+AA16)*'Retirement Planning'!$J$44)-$G16-$X16,L16)),0))</f>
        <v>4954.3878558426131</v>
      </c>
      <c r="N16" s="57">
        <f>(N15-O15)*(1+'Retirement Planning'!$J$23/12)</f>
        <v>0</v>
      </c>
      <c r="O16" s="59">
        <f>IF(B16&gt;59.5,MAX(0,MIN((AA16+$Y16+$AJ16)*(IF(D16&lt;MIN(E4:E15),1,'Retirement Planning'!$J$44))-M16-$G16-$X16-D16,N16)),0)</f>
        <v>0</v>
      </c>
      <c r="P16" s="57">
        <f t="shared" si="15"/>
        <v>39651.999999999985</v>
      </c>
      <c r="Q16" s="58">
        <f t="shared" si="16"/>
        <v>641.33333333333337</v>
      </c>
      <c r="R16" s="57">
        <f ca="1">(R15-S15-T15)*(1+'Retirement Planning'!$J$23/12)</f>
        <v>174847.11157925884</v>
      </c>
      <c r="S16" s="58">
        <f t="shared" ca="1" si="17"/>
        <v>358.33333333333337</v>
      </c>
      <c r="T16" s="273">
        <f t="shared" ca="1" si="3"/>
        <v>2.2737367544323206E-13</v>
      </c>
      <c r="U16" s="57">
        <f ca="1">(U15-V15)*(1+'Retirement Planning'!$J$23/12)</f>
        <v>165389.38165914896</v>
      </c>
      <c r="V16" s="24">
        <f ca="1">IF(AND($B$10&lt;55,B16&lt;59.5),MIN(U16,MAX(0,(Y16+AA16+AJ16-G16)*'Retirement Planning'!$J$45)),IF(B16&lt;59.5,(MIN(U16,MAX(0,((Y16+AA16+AJ16)-G16-M16)*'Retirement Planning'!$J$45))),MIN(U16,MAX(0,(Y16+AA16+AJ16-G16-M16-K16-X16)*'Retirement Planning'!$J$45))))</f>
        <v>534.58456617363481</v>
      </c>
      <c r="W16" s="7">
        <f t="shared" ca="1" si="4"/>
        <v>1551485.3804502201</v>
      </c>
      <c r="X16" s="7">
        <f>(IF(B16&gt;'Retirement Planning'!$J$34,IF('Retirement Planning'!$J$34=70,'Retirement Planning'!$J$37/12,IF('Retirement Planning'!$J$34=67,'Retirement Planning'!$J$36/12,'Retirement Planning'!$J$35/12)),0))*'Retirement Planning'!$J$38</f>
        <v>0</v>
      </c>
      <c r="Y16" s="7">
        <f ca="1">'Retirement Planning'!$F$35*((1+'Retirement Planning'!$J$24)^(YEAR('Projected Retirement Drawdown'!C16)-YEAR(TODAY())))</f>
        <v>5191.5282170896453</v>
      </c>
      <c r="Z16" s="7">
        <f ca="1">G16+M16+O16+0.85*X16+V16*'Retirement Planning'!$J$46+T16</f>
        <v>5248.4093672381123</v>
      </c>
      <c r="AA16" s="7">
        <f t="shared" si="18"/>
        <v>925</v>
      </c>
      <c r="AB16" s="104">
        <f t="shared" ca="1" si="5"/>
        <v>0.1762438741486291</v>
      </c>
      <c r="AC16" s="7">
        <f>IF(B16&lt;65,'Retirement Planning'!$J$28,0)</f>
        <v>583</v>
      </c>
      <c r="AD16" s="7">
        <f>IF(B16&lt;65,'Retirement Planning'!$J$29/12,0)</f>
        <v>291.66666666666669</v>
      </c>
      <c r="AE16" s="22">
        <f>'Retirement Planning'!$J$31/12</f>
        <v>58.333333333333336</v>
      </c>
      <c r="AF16" s="22">
        <f>'Retirement Planning'!$J$32/12</f>
        <v>66.666666666666671</v>
      </c>
      <c r="AG16" s="7">
        <f>IF($B16&gt;64.9,'Retirement Planning'!$J$39/12,0)</f>
        <v>0</v>
      </c>
      <c r="AH16" s="7">
        <f>IF($B16&gt;64.9,'Retirement Planning'!$J$40/12,0)</f>
        <v>0</v>
      </c>
      <c r="AI16" s="7">
        <f>IF($B16&gt;64.9,'Retirement Planning'!$J$41/12,0)</f>
        <v>0</v>
      </c>
      <c r="AJ16" s="7">
        <f t="shared" ca="1" si="6"/>
        <v>0</v>
      </c>
      <c r="AK16" s="3" t="str">
        <f t="shared" ca="1" si="7"/>
        <v>N/A</v>
      </c>
      <c r="AL16" s="6" t="str">
        <f t="shared" ca="1" si="8"/>
        <v>N/A</v>
      </c>
      <c r="AM16" s="7">
        <f t="shared" ca="1" si="9"/>
        <v>6.8212102632969618E-13</v>
      </c>
      <c r="AN16" s="7">
        <f t="shared" ca="1" si="10"/>
        <v>7116.1948837563123</v>
      </c>
      <c r="AO16" s="7">
        <f t="shared" si="11"/>
        <v>999.66666666666674</v>
      </c>
    </row>
    <row r="17" spans="1:41" x14ac:dyDescent="0.2">
      <c r="A17">
        <f t="shared" si="12"/>
        <v>0</v>
      </c>
      <c r="B17" s="5">
        <f t="shared" si="13"/>
        <v>56.9</v>
      </c>
      <c r="C17" s="56">
        <f t="shared" si="14"/>
        <v>46631</v>
      </c>
      <c r="D17" s="57">
        <f ca="1">IF(AND(B16&lt;59.5,OR(B17&gt;59.5,B17=59.5)),(D16-E16+J16-K16)*(1+'Retirement Planning'!$J$23/12),(D16-E16)*(1+'Retirement Planning'!$J$23/12))</f>
        <v>164904.81016565202</v>
      </c>
      <c r="E17" s="58">
        <f t="shared" ca="1" si="0"/>
        <v>627.55579507339735</v>
      </c>
      <c r="F17" s="57">
        <f>IF(AND(OR(B17&gt;59.5,B17=59.5),B16&lt;59.5),(F16-G16+L16-M16+N16-O16)*(1+'Retirement Planning'!$J$23/12),(F16-G16)*(1+'Retirement Planning'!$J$23/12))</f>
        <v>11949.031224864666</v>
      </c>
      <c r="G17" s="58">
        <f>IF(AND($B$10&lt;55,B17&lt;59.5),'Retirement Planning'!$J$25,IF(OR(B17&gt;59.5,B17=59.5),MAX(0,MIN(F17,IF(D17&lt;2500,((Y17+AJ17+AA17))-X17,((Y17+AJ17+AA17)*'Retirement Planning'!$J$44)-X17))),0))</f>
        <v>0</v>
      </c>
      <c r="H17" s="255">
        <f>IF(MONTH(C17)=1,IF(B17&gt;69.5,F17/(INDEX('Retirement Planning'!D$1:D$264,(160+INT(B17))))/12,0),IF(F17=0,0,H16))</f>
        <v>0</v>
      </c>
      <c r="I17" s="262">
        <f t="shared" si="1"/>
        <v>0</v>
      </c>
      <c r="J17" s="254">
        <f>IF(AND(B16&lt;59.5,OR(B17=59.5,B17&gt;59.5)),0,(J16-K16)*(1+'Retirement Planning'!$J$23/12))</f>
        <v>33058.091766469239</v>
      </c>
      <c r="K17" s="58">
        <f t="shared" si="2"/>
        <v>0</v>
      </c>
      <c r="L17" s="57">
        <f ca="1">IF(AND(OR(B17&gt;59.5,B17=59.5),B16&lt;59.5),0,(L16-M16)*(1+'Retirement Planning'!$J$23/12))</f>
        <v>964362.28292080015</v>
      </c>
      <c r="M17" s="59">
        <f ca="1">IF(AND($B$10&lt;55,B17&lt;59.5),0,IF(B17&lt;59.5,MAX(0,MIN((($Y17+$AJ17+AA17)*'Retirement Planning'!$J$44)-$G17-$X17,L17)),0))</f>
        <v>4954.3878558426131</v>
      </c>
      <c r="N17" s="57">
        <f>(N16-O16)*(1+'Retirement Planning'!$J$23/12)</f>
        <v>0</v>
      </c>
      <c r="O17" s="59">
        <f>IF(B17&gt;59.5,MAX(0,MIN((AA17+$Y17+$AJ17)*(IF(D17&lt;MIN(E5:E16),1,'Retirement Planning'!$J$44))-M17-$G17-$X17-D17,N17)),0)</f>
        <v>0</v>
      </c>
      <c r="P17" s="57">
        <f t="shared" si="15"/>
        <v>39010.66666666665</v>
      </c>
      <c r="Q17" s="58">
        <f t="shared" si="16"/>
        <v>641.33333333333337</v>
      </c>
      <c r="R17" s="57">
        <f ca="1">(R16-S16-T16)*(1+'Retirement Planning'!$J$23/12)</f>
        <v>175724.74042516746</v>
      </c>
      <c r="S17" s="58">
        <f t="shared" ca="1" si="17"/>
        <v>358.33333333333337</v>
      </c>
      <c r="T17" s="273">
        <f t="shared" ca="1" si="3"/>
        <v>2.2737367544323206E-13</v>
      </c>
      <c r="U17" s="57">
        <f ca="1">(U16-V16)*(1+'Retirement Planning'!$J$23/12)</f>
        <v>166022.51857238391</v>
      </c>
      <c r="V17" s="24">
        <f ca="1">IF(AND($B$10&lt;55,B17&lt;59.5),MIN(U17,MAX(0,(Y17+AA17+AJ17-G17)*'Retirement Planning'!$J$45)),IF(B17&lt;59.5,(MIN(U17,MAX(0,((Y17+AA17+AJ17)-G17-M17)*'Retirement Planning'!$J$45))),MIN(U17,MAX(0,(Y17+AA17+AJ17-G17-M17-K17-X17)*'Retirement Planning'!$J$45))))</f>
        <v>534.58456617363481</v>
      </c>
      <c r="W17" s="7">
        <f t="shared" ca="1" si="4"/>
        <v>1555032.1417420041</v>
      </c>
      <c r="X17" s="7">
        <f>(IF(B17&gt;'Retirement Planning'!$J$34,IF('Retirement Planning'!$J$34=70,'Retirement Planning'!$J$37/12,IF('Retirement Planning'!$J$34=67,'Retirement Planning'!$J$36/12,'Retirement Planning'!$J$35/12)),0))*'Retirement Planning'!$J$38</f>
        <v>0</v>
      </c>
      <c r="Y17" s="7">
        <f ca="1">'Retirement Planning'!$F$35*((1+'Retirement Planning'!$J$24)^(YEAR('Projected Retirement Drawdown'!C17)-YEAR(TODAY())))</f>
        <v>5191.5282170896453</v>
      </c>
      <c r="Z17" s="7">
        <f ca="1">G17+M17+O17+0.85*X17+V17*'Retirement Planning'!$J$46+T17</f>
        <v>5248.4093672381123</v>
      </c>
      <c r="AA17" s="7">
        <f t="shared" si="18"/>
        <v>925</v>
      </c>
      <c r="AB17" s="104">
        <f t="shared" ca="1" si="5"/>
        <v>0.1762438741486291</v>
      </c>
      <c r="AC17" s="7">
        <f>IF(B17&lt;65,'Retirement Planning'!$J$28,0)</f>
        <v>583</v>
      </c>
      <c r="AD17" s="7">
        <f>IF(B17&lt;65,'Retirement Planning'!$J$29/12,0)</f>
        <v>291.66666666666669</v>
      </c>
      <c r="AE17" s="22">
        <f>'Retirement Planning'!$J$31/12</f>
        <v>58.333333333333336</v>
      </c>
      <c r="AF17" s="22">
        <f>'Retirement Planning'!$J$32/12</f>
        <v>66.666666666666671</v>
      </c>
      <c r="AG17" s="7">
        <f>IF($B17&gt;64.9,'Retirement Planning'!$J$39/12,0)</f>
        <v>0</v>
      </c>
      <c r="AH17" s="7">
        <f>IF($B17&gt;64.9,'Retirement Planning'!$J$40/12,0)</f>
        <v>0</v>
      </c>
      <c r="AI17" s="7">
        <f>IF($B17&gt;64.9,'Retirement Planning'!$J$41/12,0)</f>
        <v>0</v>
      </c>
      <c r="AJ17" s="7">
        <f t="shared" ca="1" si="6"/>
        <v>0</v>
      </c>
      <c r="AK17" s="3" t="str">
        <f t="shared" ca="1" si="7"/>
        <v>N/A</v>
      </c>
      <c r="AL17" s="6" t="str">
        <f t="shared" ca="1" si="8"/>
        <v>N/A</v>
      </c>
      <c r="AM17" s="7">
        <f t="shared" ca="1" si="9"/>
        <v>6.8212102632969618E-13</v>
      </c>
      <c r="AN17" s="7">
        <f t="shared" ca="1" si="10"/>
        <v>7116.1948837563123</v>
      </c>
      <c r="AO17" s="7">
        <f t="shared" si="11"/>
        <v>999.66666666666674</v>
      </c>
    </row>
    <row r="18" spans="1:41" x14ac:dyDescent="0.2">
      <c r="A18">
        <f t="shared" si="12"/>
        <v>0</v>
      </c>
      <c r="B18" s="5">
        <f t="shared" si="13"/>
        <v>57</v>
      </c>
      <c r="C18" s="56">
        <f t="shared" si="14"/>
        <v>46661</v>
      </c>
      <c r="D18" s="57">
        <f ca="1">IF(AND(B17&lt;59.5,OR(B18&gt;59.5,B18=59.5)),(D17-E17+J17-K17)*(1+'Retirement Planning'!$J$23/12),(D17-E17)*(1+'Retirement Planning'!$J$23/12))</f>
        <v>165440.88492237023</v>
      </c>
      <c r="E18" s="58">
        <f t="shared" ca="1" si="0"/>
        <v>627.55579507339735</v>
      </c>
      <c r="F18" s="57">
        <f>IF(AND(OR(B18&gt;59.5,B18=59.5),B17&lt;59.5),(F17-G17+L17-M17+N17-O17)*(1+'Retirement Planning'!$J$23/12),(F17-G17)*(1+'Retirement Planning'!$J$23/12))</f>
        <v>12033.67019604079</v>
      </c>
      <c r="G18" s="58">
        <f>IF(AND($B$10&lt;55,B18&lt;59.5),'Retirement Planning'!$J$25,IF(OR(B18&gt;59.5,B18=59.5),MAX(0,MIN(F18,IF(D18&lt;2500,((Y18+AJ18+AA18))-X18,((Y18+AJ18+AA18)*'Retirement Planning'!$J$44)-X18))),0))</f>
        <v>0</v>
      </c>
      <c r="H18" s="255">
        <f>IF(MONTH(C18)=1,IF(B18&gt;69.5,F18/(INDEX('Retirement Planning'!D$1:D$264,(160+INT(B18))))/12,0),IF(F18=0,0,H17))</f>
        <v>0</v>
      </c>
      <c r="I18" s="262">
        <f t="shared" si="1"/>
        <v>0</v>
      </c>
      <c r="J18" s="254">
        <f>IF(AND(B17&lt;59.5,OR(B18=59.5,B18&gt;59.5)),0,(J17-K17)*(1+'Retirement Planning'!$J$23/12))</f>
        <v>33292.253249815061</v>
      </c>
      <c r="K18" s="58">
        <f t="shared" si="2"/>
        <v>0</v>
      </c>
      <c r="L18" s="57">
        <f ca="1">IF(AND(OR(B18&gt;59.5,B18=59.5),B17&lt;59.5),0,(L17-M17)*(1+'Retirement Planning'!$J$23/12))</f>
        <v>966203.70098833437</v>
      </c>
      <c r="M18" s="59">
        <f ca="1">IF(AND($B$10&lt;55,B18&lt;59.5),0,IF(B18&lt;59.5,MAX(0,MIN((($Y18+$AJ18+AA18)*'Retirement Planning'!$J$44)-$G18-$X18,L18)),0))</f>
        <v>4954.3878558426131</v>
      </c>
      <c r="N18" s="57">
        <f>(N17-O17)*(1+'Retirement Planning'!$J$23/12)</f>
        <v>0</v>
      </c>
      <c r="O18" s="59">
        <f>IF(B18&gt;59.5,MAX(0,MIN((AA18+$Y18+$AJ18)*(IF(D18&lt;MIN(E6:E17),1,'Retirement Planning'!$J$44))-M18-$G18-$X18-D18,N18)),0)</f>
        <v>0</v>
      </c>
      <c r="P18" s="57">
        <f t="shared" si="15"/>
        <v>38369.333333333314</v>
      </c>
      <c r="Q18" s="58">
        <f t="shared" si="16"/>
        <v>641.33333333333337</v>
      </c>
      <c r="R18" s="57">
        <f ca="1">(R17-S17-T17)*(1+'Retirement Planning'!$J$23/12)</f>
        <v>176608.58580873461</v>
      </c>
      <c r="S18" s="58">
        <f t="shared" ca="1" si="17"/>
        <v>358.33333333333337</v>
      </c>
      <c r="T18" s="273">
        <f t="shared" ca="1" si="3"/>
        <v>2.2737367544323206E-13</v>
      </c>
      <c r="U18" s="57">
        <f ca="1">(U17-V17)*(1+'Retirement Planning'!$J$23/12)</f>
        <v>166660.14020542093</v>
      </c>
      <c r="V18" s="24">
        <f ca="1">IF(AND($B$10&lt;55,B18&lt;59.5),MIN(U18,MAX(0,(Y18+AA18+AJ18-G18)*'Retirement Planning'!$J$45)),IF(B18&lt;59.5,(MIN(U18,MAX(0,((Y18+AA18+AJ18)-G18-M18)*'Retirement Planning'!$J$45))),MIN(U18,MAX(0,(Y18+AA18+AJ18-G18-M18-K18-X18)*'Retirement Planning'!$J$45))))</f>
        <v>534.58456617363481</v>
      </c>
      <c r="W18" s="7">
        <f t="shared" ca="1" si="4"/>
        <v>1558608.5687040493</v>
      </c>
      <c r="X18" s="7">
        <f>(IF(B18&gt;'Retirement Planning'!$J$34,IF('Retirement Planning'!$J$34=70,'Retirement Planning'!$J$37/12,IF('Retirement Planning'!$J$34=67,'Retirement Planning'!$J$36/12,'Retirement Planning'!$J$35/12)),0))*'Retirement Planning'!$J$38</f>
        <v>0</v>
      </c>
      <c r="Y18" s="7">
        <f ca="1">'Retirement Planning'!$F$35*((1+'Retirement Planning'!$J$24)^(YEAR('Projected Retirement Drawdown'!C18)-YEAR(TODAY())))</f>
        <v>5191.5282170896453</v>
      </c>
      <c r="Z18" s="7">
        <f ca="1">G18+M18+O18+0.85*X18+V18*'Retirement Planning'!$J$46+T18</f>
        <v>5248.4093672381123</v>
      </c>
      <c r="AA18" s="7">
        <f t="shared" si="18"/>
        <v>925</v>
      </c>
      <c r="AB18" s="104">
        <f t="shared" ca="1" si="5"/>
        <v>0.1762438741486291</v>
      </c>
      <c r="AC18" s="7">
        <f>IF(B18&lt;65,'Retirement Planning'!$J$28,0)</f>
        <v>583</v>
      </c>
      <c r="AD18" s="7">
        <f>IF(B18&lt;65,'Retirement Planning'!$J$29/12,0)</f>
        <v>291.66666666666669</v>
      </c>
      <c r="AE18" s="22">
        <f>'Retirement Planning'!$J$31/12</f>
        <v>58.333333333333336</v>
      </c>
      <c r="AF18" s="22">
        <f>'Retirement Planning'!$J$32/12</f>
        <v>66.666666666666671</v>
      </c>
      <c r="AG18" s="7">
        <f>IF($B18&gt;64.9,'Retirement Planning'!$J$39/12,0)</f>
        <v>0</v>
      </c>
      <c r="AH18" s="7">
        <f>IF($B18&gt;64.9,'Retirement Planning'!$J$40/12,0)</f>
        <v>0</v>
      </c>
      <c r="AI18" s="7">
        <f>IF($B18&gt;64.9,'Retirement Planning'!$J$41/12,0)</f>
        <v>0</v>
      </c>
      <c r="AJ18" s="7">
        <f t="shared" ca="1" si="6"/>
        <v>0</v>
      </c>
      <c r="AK18" s="3" t="str">
        <f t="shared" ca="1" si="7"/>
        <v>N/A</v>
      </c>
      <c r="AL18" s="6" t="str">
        <f t="shared" ca="1" si="8"/>
        <v>N/A</v>
      </c>
      <c r="AM18" s="7">
        <f t="shared" ca="1" si="9"/>
        <v>6.8212102632969618E-13</v>
      </c>
      <c r="AN18" s="7">
        <f t="shared" ca="1" si="10"/>
        <v>7116.1948837563123</v>
      </c>
      <c r="AO18" s="7">
        <f t="shared" si="11"/>
        <v>999.66666666666674</v>
      </c>
    </row>
    <row r="19" spans="1:41" x14ac:dyDescent="0.2">
      <c r="A19">
        <f t="shared" si="12"/>
        <v>0</v>
      </c>
      <c r="B19" s="5">
        <f t="shared" si="13"/>
        <v>57</v>
      </c>
      <c r="C19" s="56">
        <f t="shared" si="14"/>
        <v>46692</v>
      </c>
      <c r="D19" s="57">
        <f ca="1">IF(AND(B18&lt;59.5,OR(B19&gt;59.5,B19=59.5)),(D18-E18+J18-K18)*(1+'Retirement Planning'!$J$23/12),(D18-E18)*(1+'Retirement Planning'!$J$23/12))</f>
        <v>165980.75687528186</v>
      </c>
      <c r="E19" s="58">
        <f t="shared" ca="1" si="0"/>
        <v>627.55579507339735</v>
      </c>
      <c r="F19" s="57">
        <f>IF(AND(OR(B19&gt;59.5,B19=59.5),B18&lt;59.5),(F18-G18+L18-M18+N18-O18)*(1+'Retirement Planning'!$J$23/12),(F18-G18)*(1+'Retirement Planning'!$J$23/12))</f>
        <v>12118.908693262745</v>
      </c>
      <c r="G19" s="58">
        <f>IF(AND($B$10&lt;55,B19&lt;59.5),'Retirement Planning'!$J$25,IF(OR(B19&gt;59.5,B19=59.5),MAX(0,MIN(F19,IF(D19&lt;2500,((Y19+AJ19+AA19))-X19,((Y19+AJ19+AA19)*'Retirement Planning'!$J$44)-X19))),0))</f>
        <v>0</v>
      </c>
      <c r="H19" s="255">
        <f>IF(MONTH(C19)=1,IF(B19&gt;69.5,F19/(INDEX('Retirement Planning'!D$1:D$264,(160+INT(B19))))/12,0),IF(F19=0,0,H18))</f>
        <v>0</v>
      </c>
      <c r="I19" s="262">
        <f t="shared" si="1"/>
        <v>0</v>
      </c>
      <c r="J19" s="254">
        <f>IF(AND(B18&lt;59.5,OR(B19=59.5,B19&gt;59.5)),0,(J18-K18)*(1+'Retirement Planning'!$J$23/12))</f>
        <v>33528.073377001252</v>
      </c>
      <c r="K19" s="58">
        <f t="shared" si="2"/>
        <v>0</v>
      </c>
      <c r="L19" s="57">
        <f ca="1">IF(AND(OR(B19&gt;59.5,B19=59.5),B18&lt;59.5),0,(L18-M18)*(1+'Retirement Planning'!$J$23/12))</f>
        <v>968058.16243384697</v>
      </c>
      <c r="M19" s="59">
        <f ca="1">IF(AND($B$10&lt;55,B19&lt;59.5),0,IF(B19&lt;59.5,MAX(0,MIN((($Y19+$AJ19+AA19)*'Retirement Planning'!$J$44)-$G19-$X19,L19)),0))</f>
        <v>4954.3878558426131</v>
      </c>
      <c r="N19" s="57">
        <f>(N18-O18)*(1+'Retirement Planning'!$J$23/12)</f>
        <v>0</v>
      </c>
      <c r="O19" s="59">
        <f>IF(B19&gt;59.5,MAX(0,MIN((AA19+$Y19+$AJ19)*(IF(D19&lt;MIN(E7:E18),1,'Retirement Planning'!$J$44))-M19-$G19-$X19-D19,N19)),0)</f>
        <v>0</v>
      </c>
      <c r="P19" s="57">
        <f t="shared" si="15"/>
        <v>37727.999999999978</v>
      </c>
      <c r="Q19" s="58">
        <f t="shared" si="16"/>
        <v>641.33333333333337</v>
      </c>
      <c r="R19" s="57">
        <f ca="1">(R18-S18-T18)*(1+'Retirement Planning'!$J$23/12)</f>
        <v>177498.6917637687</v>
      </c>
      <c r="S19" s="58">
        <f t="shared" ca="1" si="17"/>
        <v>358.33333333333337</v>
      </c>
      <c r="T19" s="273">
        <f t="shared" ca="1" si="3"/>
        <v>2.2737367544323206E-13</v>
      </c>
      <c r="U19" s="57">
        <f ca="1">(U18-V18)*(1+'Retirement Planning'!$J$23/12)</f>
        <v>167302.27832502528</v>
      </c>
      <c r="V19" s="24">
        <f ca="1">IF(AND($B$10&lt;55,B19&lt;59.5),MIN(U19,MAX(0,(Y19+AA19+AJ19-G19)*'Retirement Planning'!$J$45)),IF(B19&lt;59.5,(MIN(U19,MAX(0,((Y19+AA19+AJ19)-G19-M19)*'Retirement Planning'!$J$45))),MIN(U19,MAX(0,(Y19+AA19+AJ19-G19-M19-K19-X19)*'Retirement Planning'!$J$45))))</f>
        <v>534.58456617363481</v>
      </c>
      <c r="W19" s="7">
        <f t="shared" ca="1" si="4"/>
        <v>1562214.8714681868</v>
      </c>
      <c r="X19" s="7">
        <f>(IF(B19&gt;'Retirement Planning'!$J$34,IF('Retirement Planning'!$J$34=70,'Retirement Planning'!$J$37/12,IF('Retirement Planning'!$J$34=67,'Retirement Planning'!$J$36/12,'Retirement Planning'!$J$35/12)),0))*'Retirement Planning'!$J$38</f>
        <v>0</v>
      </c>
      <c r="Y19" s="7">
        <f ca="1">'Retirement Planning'!$F$35*((1+'Retirement Planning'!$J$24)^(YEAR('Projected Retirement Drawdown'!C19)-YEAR(TODAY())))</f>
        <v>5191.5282170896453</v>
      </c>
      <c r="Z19" s="7">
        <f ca="1">G19+M19+O19+0.85*X19+V19*'Retirement Planning'!$J$46+T19</f>
        <v>5248.4093672381123</v>
      </c>
      <c r="AA19" s="7">
        <f t="shared" si="18"/>
        <v>925</v>
      </c>
      <c r="AB19" s="104">
        <f t="shared" ca="1" si="5"/>
        <v>0.1762438741486291</v>
      </c>
      <c r="AC19" s="7">
        <f>IF(B19&lt;65,'Retirement Planning'!$J$28,0)</f>
        <v>583</v>
      </c>
      <c r="AD19" s="7">
        <f>IF(B19&lt;65,'Retirement Planning'!$J$29/12,0)</f>
        <v>291.66666666666669</v>
      </c>
      <c r="AE19" s="22">
        <f>'Retirement Planning'!$J$31/12</f>
        <v>58.333333333333336</v>
      </c>
      <c r="AF19" s="22">
        <f>'Retirement Planning'!$J$32/12</f>
        <v>66.666666666666671</v>
      </c>
      <c r="AG19" s="7">
        <f>IF($B19&gt;64.9,'Retirement Planning'!$J$39/12,0)</f>
        <v>0</v>
      </c>
      <c r="AH19" s="7">
        <f>IF($B19&gt;64.9,'Retirement Planning'!$J$40/12,0)</f>
        <v>0</v>
      </c>
      <c r="AI19" s="7">
        <f>IF($B19&gt;64.9,'Retirement Planning'!$J$41/12,0)</f>
        <v>0</v>
      </c>
      <c r="AJ19" s="7">
        <f t="shared" ca="1" si="6"/>
        <v>0</v>
      </c>
      <c r="AK19" s="3" t="str">
        <f t="shared" ca="1" si="7"/>
        <v>N/A</v>
      </c>
      <c r="AL19" s="6" t="str">
        <f t="shared" ca="1" si="8"/>
        <v>N/A</v>
      </c>
      <c r="AM19" s="7">
        <f t="shared" ca="1" si="9"/>
        <v>6.8212102632969618E-13</v>
      </c>
      <c r="AN19" s="7">
        <f t="shared" ca="1" si="10"/>
        <v>7116.1948837563123</v>
      </c>
      <c r="AO19" s="7">
        <f t="shared" si="11"/>
        <v>999.66666666666674</v>
      </c>
    </row>
    <row r="20" spans="1:41" x14ac:dyDescent="0.2">
      <c r="A20">
        <f t="shared" si="12"/>
        <v>0</v>
      </c>
      <c r="B20" s="5">
        <f t="shared" si="13"/>
        <v>57.1</v>
      </c>
      <c r="C20" s="56">
        <f t="shared" si="14"/>
        <v>46722</v>
      </c>
      <c r="D20" s="57">
        <f ca="1">IF(AND(B19&lt;59.5,OR(B20&gt;59.5,B20=59.5)),(D19-E19+J19-K19)*(1+'Retirement Planning'!$J$23/12),(D19-E19)*(1+'Retirement Planning'!$J$23/12))</f>
        <v>166524.45292119327</v>
      </c>
      <c r="E20" s="58">
        <f t="shared" ca="1" si="0"/>
        <v>627.55579507339735</v>
      </c>
      <c r="F20" s="57">
        <f>IF(AND(OR(B20&gt;59.5,B20=59.5),B19&lt;59.5),(F19-G19+L19-M19+N19-O19)*(1+'Retirement Planning'!$J$23/12),(F19-G19)*(1+'Retirement Planning'!$J$23/12))</f>
        <v>12204.750963173356</v>
      </c>
      <c r="G20" s="58">
        <f>IF(AND($B$10&lt;55,B20&lt;59.5),'Retirement Planning'!$J$25,IF(OR(B20&gt;59.5,B20=59.5),MAX(0,MIN(F20,IF(D20&lt;2500,((Y20+AJ20+AA20))-X20,((Y20+AJ20+AA20)*'Retirement Planning'!$J$44)-X20))),0))</f>
        <v>0</v>
      </c>
      <c r="H20" s="255">
        <f>IF(MONTH(C20)=1,IF(B20&gt;69.5,F20/(INDEX('Retirement Planning'!D$1:D$264,(160+INT(B20))))/12,0),IF(F20=0,0,H19))</f>
        <v>0</v>
      </c>
      <c r="I20" s="262">
        <f t="shared" si="1"/>
        <v>0</v>
      </c>
      <c r="J20" s="254">
        <f>IF(AND(B19&lt;59.5,OR(B20=59.5,B20&gt;59.5)),0,(J19-K19)*(1+'Retirement Planning'!$J$23/12))</f>
        <v>33765.563896755011</v>
      </c>
      <c r="K20" s="58">
        <f t="shared" si="2"/>
        <v>0</v>
      </c>
      <c r="L20" s="57">
        <f ca="1">IF(AND(OR(B20&gt;59.5,B20=59.5),B19&lt;59.5),0,(L19-M19)*(1+'Retirement Planning'!$J$23/12))</f>
        <v>969925.7596479319</v>
      </c>
      <c r="M20" s="59">
        <f ca="1">IF(AND($B$10&lt;55,B20&lt;59.5),0,IF(B20&lt;59.5,MAX(0,MIN((($Y20+$AJ20+AA20)*'Retirement Planning'!$J$44)-$G20-$X20,L20)),0))</f>
        <v>4954.3878558426131</v>
      </c>
      <c r="N20" s="57">
        <f>(N19-O19)*(1+'Retirement Planning'!$J$23/12)</f>
        <v>0</v>
      </c>
      <c r="O20" s="59">
        <f>IF(B20&gt;59.5,MAX(0,MIN((AA20+$Y20+$AJ20)*(IF(D20&lt;MIN(E8:E19),1,'Retirement Planning'!$J$44))-M20-$G20-$X20-D20,N20)),0)</f>
        <v>0</v>
      </c>
      <c r="P20" s="57">
        <f t="shared" si="15"/>
        <v>37086.666666666642</v>
      </c>
      <c r="Q20" s="58">
        <f t="shared" si="16"/>
        <v>641.33333333333337</v>
      </c>
      <c r="R20" s="57">
        <f ca="1">(R19-S19-T19)*(1+'Retirement Planning'!$J$23/12)</f>
        <v>178395.10263598428</v>
      </c>
      <c r="S20" s="58">
        <f t="shared" ca="1" si="17"/>
        <v>358.33333333333337</v>
      </c>
      <c r="T20" s="273">
        <f t="shared" ca="1" si="3"/>
        <v>2.2737367544323206E-13</v>
      </c>
      <c r="U20" s="57">
        <f ca="1">(U19-V19)*(1+'Retirement Planning'!$J$23/12)</f>
        <v>167948.96492297685</v>
      </c>
      <c r="V20" s="24">
        <f ca="1">IF(AND($B$10&lt;55,B20&lt;59.5),MIN(U20,MAX(0,(Y20+AA20+AJ20-G20)*'Retirement Planning'!$J$45)),IF(B20&lt;59.5,(MIN(U20,MAX(0,((Y20+AA20+AJ20)-G20-M20)*'Retirement Planning'!$J$45))),MIN(U20,MAX(0,(Y20+AA20+AJ20-G20-M20-K20-X20)*'Retirement Planning'!$J$45))))</f>
        <v>534.58456617363481</v>
      </c>
      <c r="W20" s="7">
        <f t="shared" ca="1" si="4"/>
        <v>1565851.2616546815</v>
      </c>
      <c r="X20" s="7">
        <f>(IF(B20&gt;'Retirement Planning'!$J$34,IF('Retirement Planning'!$J$34=70,'Retirement Planning'!$J$37/12,IF('Retirement Planning'!$J$34=67,'Retirement Planning'!$J$36/12,'Retirement Planning'!$J$35/12)),0))*'Retirement Planning'!$J$38</f>
        <v>0</v>
      </c>
      <c r="Y20" s="7">
        <f ca="1">'Retirement Planning'!$F$35*((1+'Retirement Planning'!$J$24)^(YEAR('Projected Retirement Drawdown'!C20)-YEAR(TODAY())))</f>
        <v>5191.5282170896453</v>
      </c>
      <c r="Z20" s="7">
        <f ca="1">G20+M20+O20+0.85*X20+V20*'Retirement Planning'!$J$46+T20</f>
        <v>5248.4093672381123</v>
      </c>
      <c r="AA20" s="7">
        <f t="shared" si="18"/>
        <v>925</v>
      </c>
      <c r="AB20" s="104">
        <f t="shared" ca="1" si="5"/>
        <v>0.1762438741486291</v>
      </c>
      <c r="AC20" s="7">
        <f>IF(B20&lt;65,'Retirement Planning'!$J$28,0)</f>
        <v>583</v>
      </c>
      <c r="AD20" s="7">
        <f>IF(B20&lt;65,'Retirement Planning'!$J$29/12,0)</f>
        <v>291.66666666666669</v>
      </c>
      <c r="AE20" s="22">
        <f>'Retirement Planning'!$J$31/12</f>
        <v>58.333333333333336</v>
      </c>
      <c r="AF20" s="22">
        <f>'Retirement Planning'!$J$32/12</f>
        <v>66.666666666666671</v>
      </c>
      <c r="AG20" s="7">
        <f>IF($B20&gt;64.9,'Retirement Planning'!$J$39/12,0)</f>
        <v>0</v>
      </c>
      <c r="AH20" s="7">
        <f>IF($B20&gt;64.9,'Retirement Planning'!$J$40/12,0)</f>
        <v>0</v>
      </c>
      <c r="AI20" s="7">
        <f>IF($B20&gt;64.9,'Retirement Planning'!$J$41/12,0)</f>
        <v>0</v>
      </c>
      <c r="AJ20" s="7">
        <f t="shared" ca="1" si="6"/>
        <v>0</v>
      </c>
      <c r="AK20" s="3" t="str">
        <f t="shared" ca="1" si="7"/>
        <v>N/A</v>
      </c>
      <c r="AL20" s="6" t="str">
        <f t="shared" ca="1" si="8"/>
        <v>N/A</v>
      </c>
      <c r="AM20" s="7">
        <f t="shared" ca="1" si="9"/>
        <v>6.8212102632969618E-13</v>
      </c>
      <c r="AN20" s="7">
        <f t="shared" ca="1" si="10"/>
        <v>7116.1948837563123</v>
      </c>
      <c r="AO20" s="7">
        <f t="shared" si="11"/>
        <v>999.66666666666674</v>
      </c>
    </row>
    <row r="21" spans="1:41" x14ac:dyDescent="0.2">
      <c r="A21">
        <f t="shared" si="12"/>
        <v>0</v>
      </c>
      <c r="B21" s="5">
        <f t="shared" si="13"/>
        <v>57.2</v>
      </c>
      <c r="C21" s="56">
        <f t="shared" si="14"/>
        <v>46753</v>
      </c>
      <c r="D21" s="57">
        <f ca="1">IF(AND(B20&lt;59.5,OR(B21&gt;59.5,B21=59.5)),(D20-E20+J20-K20)*(1+'Retirement Planning'!$J$23/12),(D20-E20)*(1+'Retirement Planning'!$J$23/12))</f>
        <v>167072.00014742988</v>
      </c>
      <c r="E21" s="58">
        <f t="shared" ca="1" si="0"/>
        <v>646.19857290096661</v>
      </c>
      <c r="F21" s="57">
        <f>IF(AND(OR(B21&gt;59.5,B21=59.5),B20&lt;59.5),(F20-G20+L20-M20+N20-O20)*(1+'Retirement Planning'!$J$23/12),(F20-G20)*(1+'Retirement Planning'!$J$23/12))</f>
        <v>12291.201282495833</v>
      </c>
      <c r="G21" s="58">
        <f>IF(AND($B$10&lt;55,B21&lt;59.5),'Retirement Planning'!$J$25,IF(OR(B21&gt;59.5,B21=59.5),MAX(0,MIN(F21,IF(D21&lt;2500,((Y21+AJ21+AA21))-X21,((Y21+AJ21+AA21)*'Retirement Planning'!$J$44)-X21))),0))</f>
        <v>0</v>
      </c>
      <c r="H21" s="255">
        <f>IF(MONTH(C21)=1,IF(B21&gt;69.5,F21/(INDEX('Retirement Planning'!D$1:D$264,(160+INT(B21))))/12,0),IF(F21=0,0,H20))</f>
        <v>0</v>
      </c>
      <c r="I21" s="262">
        <f t="shared" si="1"/>
        <v>0</v>
      </c>
      <c r="J21" s="254">
        <f>IF(AND(B20&lt;59.5,OR(B21=59.5,B21&gt;59.5)),0,(J20-K20)*(1+'Retirement Planning'!$J$23/12))</f>
        <v>34004.736641023694</v>
      </c>
      <c r="K21" s="58">
        <f t="shared" si="2"/>
        <v>0</v>
      </c>
      <c r="L21" s="57">
        <f ca="1">IF(AND(OR(B21&gt;59.5,B21=59.5),B20&lt;59.5),0,(L20-M20)*(1+'Retirement Planning'!$J$23/12))</f>
        <v>971806.58567561663</v>
      </c>
      <c r="M21" s="59">
        <f ca="1">IF(AND($B$10&lt;55,B21&lt;59.5),0,IF(B21&lt;59.5,MAX(0,MIN((($Y21+$AJ21+AA21)*'Retirement Planning'!$J$44)-$G21-$X21,L21)),0))</f>
        <v>5101.5676807971031</v>
      </c>
      <c r="N21" s="57">
        <f>(N20-O20)*(1+'Retirement Planning'!$J$23/12)</f>
        <v>0</v>
      </c>
      <c r="O21" s="59">
        <f>IF(B21&gt;59.5,MAX(0,MIN((AA21+$Y21+$AJ21)*(IF(D21&lt;(MIN(E9:E20)+1),1,'Retirement Planning'!$J$44))-M21-$G21-$X21-(IF(D21&lt;(MIN(E9:E20)+1),D21,0)),N21)),0)</f>
        <v>0</v>
      </c>
      <c r="P21" s="57">
        <f t="shared" si="15"/>
        <v>36445.333333333307</v>
      </c>
      <c r="Q21" s="58">
        <f t="shared" si="16"/>
        <v>641.33333333333337</v>
      </c>
      <c r="R21" s="57">
        <f ca="1">(R20-S20-T20)*(1+'Retirement Planning'!$J$23/12)</f>
        <v>179297.86308521137</v>
      </c>
      <c r="S21" s="58">
        <f t="shared" ca="1" si="17"/>
        <v>358.33333333333337</v>
      </c>
      <c r="T21" s="273">
        <f t="shared" ca="1" si="3"/>
        <v>0</v>
      </c>
      <c r="U21" s="57">
        <f ca="1">(U20-V20)*(1+'Retirement Planning'!$J$23/12)</f>
        <v>168600.2322176639</v>
      </c>
      <c r="V21" s="24">
        <f ca="1">IF(AND($B$10&lt;55,B21&lt;59.5),MIN(U21,MAX(0,(Y21+AA21+AJ21-G21)*'Retirement Planning'!$J$45)),IF(B21&lt;59.5,(MIN(U21,MAX(0,((Y21+AA21+AJ21)-G21-M21)*'Retirement Planning'!$J$45))),MIN(U21,MAX(0,(Y21+AA21+AJ21-G21-M21-K21-X21)*'Retirement Planning'!$J$45))))</f>
        <v>550.46545098971205</v>
      </c>
      <c r="W21" s="7">
        <f t="shared" ca="1" si="4"/>
        <v>1569517.9523827746</v>
      </c>
      <c r="X21" s="7">
        <f>(IF(B21&gt;'Retirement Planning'!$J$34,IF('Retirement Planning'!$J$34=70,'Retirement Planning'!$J$37/12,IF('Retirement Planning'!$J$34=67,'Retirement Planning'!$J$36/12,'Retirement Planning'!$J$35/12)),0))*'Retirement Planning'!$J$38</f>
        <v>0</v>
      </c>
      <c r="Y21" s="7">
        <f ca="1">'Retirement Planning'!$F$35*((1+'Retirement Planning'!$J$24)^(YEAR('Projected Retirement Drawdown'!C21)-YEAR(TODAY())))</f>
        <v>5373.2317046877815</v>
      </c>
      <c r="Z21" s="7">
        <f ca="1">G21+M21+O21+0.85*X21+V21*'Retirement Planning'!$J$46+T21</f>
        <v>5404.3236788414451</v>
      </c>
      <c r="AA21" s="7">
        <f t="shared" si="18"/>
        <v>925</v>
      </c>
      <c r="AB21" s="104">
        <f t="shared" ca="1" si="5"/>
        <v>0.17115925228932574</v>
      </c>
      <c r="AC21" s="7">
        <f>IF(B21&lt;65,'Retirement Planning'!$J$28,0)</f>
        <v>583</v>
      </c>
      <c r="AD21" s="7">
        <f>IF(B21&lt;65,'Retirement Planning'!$J$29/12,0)</f>
        <v>291.66666666666669</v>
      </c>
      <c r="AE21" s="22">
        <f>'Retirement Planning'!$J$31/12</f>
        <v>58.333333333333336</v>
      </c>
      <c r="AF21" s="22">
        <f>'Retirement Planning'!$J$32/12</f>
        <v>66.666666666666671</v>
      </c>
      <c r="AG21" s="7">
        <f>IF($B21&gt;64.9,'Retirement Planning'!$J$39/12,0)</f>
        <v>0</v>
      </c>
      <c r="AH21" s="7">
        <f>IF($B21&gt;64.9,'Retirement Planning'!$J$40/12,0)</f>
        <v>0</v>
      </c>
      <c r="AI21" s="7">
        <f>IF($B21&gt;64.9,'Retirement Planning'!$J$41/12,0)</f>
        <v>0</v>
      </c>
      <c r="AJ21" s="7">
        <f t="shared" ca="1" si="6"/>
        <v>0</v>
      </c>
      <c r="AK21" s="3" t="str">
        <f t="shared" ca="1" si="7"/>
        <v>N/A</v>
      </c>
      <c r="AL21" s="6" t="str">
        <f t="shared" ca="1" si="8"/>
        <v>N/A</v>
      </c>
      <c r="AM21" s="7">
        <f t="shared" ca="1" si="9"/>
        <v>6.8212102632969618E-13</v>
      </c>
      <c r="AN21" s="7">
        <f t="shared" ca="1" si="10"/>
        <v>7297.8983713544485</v>
      </c>
      <c r="AO21" s="7">
        <f t="shared" si="11"/>
        <v>999.66666666666674</v>
      </c>
    </row>
    <row r="22" spans="1:41" x14ac:dyDescent="0.2">
      <c r="A22">
        <f t="shared" si="12"/>
        <v>0</v>
      </c>
      <c r="B22" s="5">
        <f t="shared" si="13"/>
        <v>57.3</v>
      </c>
      <c r="C22" s="56">
        <f t="shared" si="14"/>
        <v>46784</v>
      </c>
      <c r="D22" s="57">
        <f ca="1">IF(AND(B21&lt;59.5,OR(B22&gt;59.5,B22=59.5)),(D21-E21+J21-K21)*(1+'Retirement Planning'!$J$23/12),(D21-E21)*(1+'Retirement Planning'!$J$23/12))</f>
        <v>167604.65100234849</v>
      </c>
      <c r="E22" s="58">
        <f t="shared" ca="1" si="0"/>
        <v>646.19857290096661</v>
      </c>
      <c r="F22" s="57">
        <f>IF(AND(OR(B22&gt;59.5,B22=59.5),B21&lt;59.5),(F21-G21+L21-M21+N21-O21)*(1+'Retirement Planning'!$J$23/12),(F21-G21)*(1+'Retirement Planning'!$J$23/12))</f>
        <v>12378.263958246846</v>
      </c>
      <c r="G22" s="58">
        <f>IF(AND($B$10&lt;55,B22&lt;59.5),'Retirement Planning'!$J$25,IF(OR(B22&gt;59.5,B22=59.5),MAX(0,MIN(F22,IF(D22&lt;2500,((Y22+AJ22+AA22))-X22,((Y22+AJ22+AA22)*'Retirement Planning'!$J$44)-X22))),0))</f>
        <v>0</v>
      </c>
      <c r="H22" s="255">
        <f>IF(MONTH(C22)=1,IF(B22&gt;69.5,F22/(INDEX('Retirement Planning'!D$1:D$264,(160+INT(B22))))/12,0),IF(F22=0,0,H21))</f>
        <v>0</v>
      </c>
      <c r="I22" s="262">
        <f t="shared" si="1"/>
        <v>0</v>
      </c>
      <c r="J22" s="254">
        <f>IF(AND(B21&lt;59.5,OR(B22=59.5,B22&gt;59.5)),0,(J21-K21)*(1+'Retirement Planning'!$J$23/12))</f>
        <v>34245.603525564278</v>
      </c>
      <c r="K22" s="58">
        <f t="shared" si="2"/>
        <v>0</v>
      </c>
      <c r="L22" s="57">
        <f ca="1">IF(AND(OR(B22&gt;59.5,B22=59.5),B21&lt;59.5),0,(L21-M21)*(1+'Retirement Planning'!$J$23/12))</f>
        <v>973552.51187228283</v>
      </c>
      <c r="M22" s="59">
        <f ca="1">IF(AND($B$10&lt;55,B22&lt;59.5),0,IF(B22&lt;59.5,MAX(0,MIN((($Y22+$AJ22+AA22)*'Retirement Planning'!$J$44)-$G22-$X22,L22)),0))</f>
        <v>5101.5676807971031</v>
      </c>
      <c r="N22" s="57">
        <f>(N21-O21)*(1+'Retirement Planning'!$J$23/12)</f>
        <v>0</v>
      </c>
      <c r="O22" s="59">
        <f>IF(B22&gt;59.5,MAX(0,MIN((AA22+$Y22+$AJ22)*(IF(D22&lt;(MIN(E10:E21)+1),1,'Retirement Planning'!$J$44))-M22-$G22-$X22-(IF(D22&lt;(MIN(E10:E21)+1),D22,0)),N22)),0)</f>
        <v>0</v>
      </c>
      <c r="P22" s="57">
        <f t="shared" si="15"/>
        <v>35803.999999999971</v>
      </c>
      <c r="Q22" s="58">
        <f t="shared" si="16"/>
        <v>641.33333333333337</v>
      </c>
      <c r="R22" s="57">
        <f ca="1">(R21-S21-T21)*(1+'Retirement Planning'!$J$23/12)</f>
        <v>180207.0180876205</v>
      </c>
      <c r="S22" s="58">
        <f t="shared" ca="1" si="17"/>
        <v>358.33333333333337</v>
      </c>
      <c r="T22" s="273">
        <f t="shared" ca="1" si="3"/>
        <v>0</v>
      </c>
      <c r="U22" s="57">
        <f ca="1">(U21-V21)*(1+'Retirement Planning'!$J$23/12)</f>
        <v>169240.11928127144</v>
      </c>
      <c r="V22" s="24">
        <f ca="1">IF(AND($B$10&lt;55,B22&lt;59.5),MIN(U22,MAX(0,(Y22+AA22+AJ22-G22)*'Retirement Planning'!$J$45)),IF(B22&lt;59.5,(MIN(U22,MAX(0,((Y22+AA22+AJ22)-G22-M22)*'Retirement Planning'!$J$45))),MIN(U22,MAX(0,(Y22+AA22+AJ22-G22-M22-K22-X22)*'Retirement Planning'!$J$45))))</f>
        <v>550.46545098971205</v>
      </c>
      <c r="W22" s="7">
        <f t="shared" ca="1" si="4"/>
        <v>1573032.1677273344</v>
      </c>
      <c r="X22" s="7">
        <f>(IF(B22&gt;'Retirement Planning'!$J$34,IF('Retirement Planning'!$J$34=70,'Retirement Planning'!$J$37/12,IF('Retirement Planning'!$J$34=67,'Retirement Planning'!$J$36/12,'Retirement Planning'!$J$35/12)),0))*'Retirement Planning'!$J$38</f>
        <v>0</v>
      </c>
      <c r="Y22" s="7">
        <f ca="1">'Retirement Planning'!$F$35*((1+'Retirement Planning'!$J$24)^(YEAR('Projected Retirement Drawdown'!C22)-YEAR(TODAY())))</f>
        <v>5373.2317046877815</v>
      </c>
      <c r="Z22" s="7">
        <f ca="1">G22+M22+O22+0.85*X22+V22*'Retirement Planning'!$J$46+T22</f>
        <v>5404.3236788414451</v>
      </c>
      <c r="AA22" s="7">
        <f>IF(MONTH(C22)=1,(((MIN(MAX(0,((SUM(Z10:Z21)-'Retirement Planning'!$I$53-'Retirement Planning'!$I$54)-'Retirement Planning'!$J$51)*'Retirement Planning'!$I$52))))+(MIN(MAX(0,((SUM(Z10:Z21)-'Retirement Planning'!$I$53-'Retirement Planning'!$I$54)-'Retirement Planning'!$J$50)*'Retirement Planning'!$I$51),('Retirement Planning'!$J$51-'Retirement Planning'!$J$50)*'Retirement Planning'!$I$51))+(MIN(MAX(0,((SUM(Z10:Z21)-'Retirement Planning'!$I$53-'Retirement Planning'!$I$54)-'Retirement Planning'!$J$49)*'Retirement Planning'!$I$50),('Retirement Planning'!$J$50-'Retirement Planning'!$J$49)*'Retirement Planning'!$I$50)+MIN(MAX(0,((SUM(Z10:Z21)-'Retirement Planning'!$I$53-'Retirement Planning'!$I$54)-'Retirement Planning'!$J$48)*'Retirement Planning'!$I$49),('Retirement Planning'!$J$49-'Retirement Planning'!$J$48)*'Retirement Planning'!$I$49)+MIN(((SUM(Z10:Z21)-'Retirement Planning'!$I$53-'Retirement Planning'!$I$54))*'Retirement Planning'!$I$48,('Retirement Planning'!$J$48)*'Retirement Planning'!$I$48))+(IF((SUM(Z10:Z21)-'Retirement Planning'!$I$54-'Retirement Planning'!$I$61)&gt;'Retirement Planning'!$J$59,(SUM(Z10:Z21)-'Retirement Planning'!$I$54-'Retirement Planning'!$I$61-'Retirement Planning'!$J$59)*'Retirement Planning'!$I$60+'Retirement Planning'!$K$59,IF((SUM(Z10:Z21)-'Retirement Planning'!$I$54-'Retirement Planning'!$I$61)&gt;'Retirement Planning'!$J$58,(SUM(Z10:Z21)-'Retirement Planning'!$I$54-'Retirement Planning'!$I$61-'Retirement Planning'!$J$58)*'Retirement Planning'!$I$59+'Retirement Planning'!$K$58,IF((SUM(Z10:Z21)-'Retirement Planning'!$I$54-'Retirement Planning'!$I$61)&gt;'Retirement Planning'!$J$57,(SUM(Z10:Z21)-'Retirement Planning'!$I$54-'Retirement Planning'!$I$61-'Retirement Planning'!$J$57)*'Retirement Planning'!$I$58+'Retirement Planning'!$K$57,IF((SUM(Z10:Z21)-'Retirement Planning'!$I$54-'Retirement Planning'!$I$61)&gt;'Retirement Planning'!$J$56,(SUM(Z10:Z21)-'Retirement Planning'!$I$54-'Retirement Planning'!$I$61-'Retirement Planning'!$J$56)*'Retirement Planning'!$I$57+'Retirement Planning'!$K$56,(SUM(Z10:Z21)-'Retirement Planning'!$I$54-'Retirement Planning'!$I$61)*'Retirement Planning'!$I$56))))))/12,AA21)</f>
        <v>925</v>
      </c>
      <c r="AB22" s="104">
        <f t="shared" ca="1" si="5"/>
        <v>0.17115925228932574</v>
      </c>
      <c r="AC22" s="7">
        <f>IF(B22&lt;65,'Retirement Planning'!$J$28,0)</f>
        <v>583</v>
      </c>
      <c r="AD22" s="7">
        <f>IF(B22&lt;65,'Retirement Planning'!$J$29/12,0)</f>
        <v>291.66666666666669</v>
      </c>
      <c r="AE22" s="22">
        <f>'Retirement Planning'!$J$31/12</f>
        <v>58.333333333333336</v>
      </c>
      <c r="AF22" s="22">
        <f>'Retirement Planning'!$J$32/12</f>
        <v>66.666666666666671</v>
      </c>
      <c r="AG22" s="7">
        <f>IF($B22&gt;64.9,'Retirement Planning'!$J$39/12,0)</f>
        <v>0</v>
      </c>
      <c r="AH22" s="7">
        <f>IF($B22&gt;64.9,'Retirement Planning'!$J$40/12,0)</f>
        <v>0</v>
      </c>
      <c r="AI22" s="7">
        <f>IF($B22&gt;64.9,'Retirement Planning'!$J$41/12,0)</f>
        <v>0</v>
      </c>
      <c r="AJ22" s="7">
        <f t="shared" ca="1" si="6"/>
        <v>0</v>
      </c>
      <c r="AK22" s="3" t="str">
        <f t="shared" ca="1" si="7"/>
        <v>N/A</v>
      </c>
      <c r="AL22" s="6" t="str">
        <f t="shared" ca="1" si="8"/>
        <v>N/A</v>
      </c>
      <c r="AM22" s="7">
        <f t="shared" ca="1" si="9"/>
        <v>6.8212102632969618E-13</v>
      </c>
      <c r="AN22" s="7">
        <f t="shared" ca="1" si="10"/>
        <v>7297.8983713544485</v>
      </c>
      <c r="AO22" s="7">
        <f t="shared" si="11"/>
        <v>999.66666666666674</v>
      </c>
    </row>
    <row r="23" spans="1:41" x14ac:dyDescent="0.2">
      <c r="A23">
        <f t="shared" si="12"/>
        <v>0</v>
      </c>
      <c r="B23" s="5">
        <f t="shared" si="13"/>
        <v>57.4</v>
      </c>
      <c r="C23" s="56">
        <f t="shared" si="14"/>
        <v>46813</v>
      </c>
      <c r="D23" s="57">
        <f ca="1">IF(AND(B22&lt;59.5,OR(B23&gt;59.5,B23=59.5)),(D22-E22+J22-K22)*(1+'Retirement Planning'!$J$23/12),(D22-E22)*(1+'Retirement Planning'!$J$23/12))</f>
        <v>168141.07480082277</v>
      </c>
      <c r="E23" s="58">
        <f t="shared" ca="1" si="0"/>
        <v>646.19857290096661</v>
      </c>
      <c r="F23" s="57">
        <f>IF(AND(OR(B23&gt;59.5,B23=59.5),B22&lt;59.5),(F22-G22+L22-M22+N22-O22)*(1+'Retirement Planning'!$J$23/12),(F22-G22)*(1+'Retirement Planning'!$J$23/12))</f>
        <v>12465.943327951094</v>
      </c>
      <c r="G23" s="58">
        <f>IF(AND($B$10&lt;55,B23&lt;59.5),'Retirement Planning'!$J$25,IF(OR(B23&gt;59.5,B23=59.5),MAX(0,MIN(F23,IF(D23&lt;2500,((Y23+AJ23+AA23))-X23,((Y23+AJ23+AA23)*'Retirement Planning'!$J$44)-X23))),0))</f>
        <v>0</v>
      </c>
      <c r="H23" s="255">
        <f>IF(MONTH(C23)=1,IF(B23&gt;69.5,F23/(INDEX('Retirement Planning'!D$1:D$264,(160+INT(B23))))/12,0),IF(F23=0,0,H22))</f>
        <v>0</v>
      </c>
      <c r="I23" s="262">
        <f t="shared" si="1"/>
        <v>0</v>
      </c>
      <c r="J23" s="254">
        <f>IF(AND(B22&lt;59.5,OR(B23=59.5,B23&gt;59.5)),0,(J22-K22)*(1+'Retirement Planning'!$J$23/12))</f>
        <v>34488.176550537028</v>
      </c>
      <c r="K23" s="58">
        <f t="shared" si="2"/>
        <v>0</v>
      </c>
      <c r="L23" s="57">
        <f ca="1">IF(AND(OR(B23&gt;59.5,B23=59.5),B22&lt;59.5),0,(L22-M22)*(1+'Retirement Planning'!$J$23/12))</f>
        <v>975310.80504617549</v>
      </c>
      <c r="M23" s="59">
        <f ca="1">IF(AND($B$10&lt;55,B23&lt;59.5),0,IF(B23&lt;59.5,MAX(0,MIN((($Y23+$AJ23+AA23)*'Retirement Planning'!$J$44)-$G23-$X23,L23)),0))</f>
        <v>5101.5676807971031</v>
      </c>
      <c r="N23" s="57">
        <f>(N22-O22)*(1+'Retirement Planning'!$J$23/12)</f>
        <v>0</v>
      </c>
      <c r="O23" s="59">
        <f>IF(B23&gt;59.5,MAX(0,MIN((AA23+$Y23+$AJ23)*(IF(D23&lt;(MIN(E11:E22)+1),1,'Retirement Planning'!$J$44))-M23-$G23-$X23-(IF(D23&lt;(MIN(E11:E22)+1),D23,0)),N23)),0)</f>
        <v>0</v>
      </c>
      <c r="P23" s="57">
        <f t="shared" si="15"/>
        <v>35162.666666666635</v>
      </c>
      <c r="Q23" s="58">
        <f t="shared" si="16"/>
        <v>641.33333333333337</v>
      </c>
      <c r="R23" s="57">
        <f ca="1">(R22-S22-T22)*(1+'Retirement Planning'!$J$23/12)</f>
        <v>181122.61293796336</v>
      </c>
      <c r="S23" s="58">
        <f t="shared" ca="1" si="17"/>
        <v>358.33333333333337</v>
      </c>
      <c r="T23" s="273">
        <f t="shared" ca="1" si="3"/>
        <v>0</v>
      </c>
      <c r="U23" s="57">
        <f ca="1">(U22-V22)*(1+'Retirement Planning'!$J$23/12)</f>
        <v>169884.53887824621</v>
      </c>
      <c r="V23" s="24">
        <f ca="1">IF(AND($B$10&lt;55,B23&lt;59.5),MIN(U23,MAX(0,(Y23+AA23+AJ23-G23)*'Retirement Planning'!$J$45)),IF(B23&lt;59.5,(MIN(U23,MAX(0,((Y23+AA23+AJ23)-G23-M23)*'Retirement Planning'!$J$45))),MIN(U23,MAX(0,(Y23+AA23+AJ23-G23-M23-K23-X23)*'Retirement Planning'!$J$45))))</f>
        <v>550.46545098971205</v>
      </c>
      <c r="W23" s="7">
        <f t="shared" ca="1" si="4"/>
        <v>1576575.8182083627</v>
      </c>
      <c r="X23" s="7">
        <f>(IF(B23&gt;'Retirement Planning'!$J$34,IF('Retirement Planning'!$J$34=70,'Retirement Planning'!$J$37/12,IF('Retirement Planning'!$J$34=67,'Retirement Planning'!$J$36/12,'Retirement Planning'!$J$35/12)),0))*'Retirement Planning'!$J$38</f>
        <v>0</v>
      </c>
      <c r="Y23" s="7">
        <f ca="1">'Retirement Planning'!$F$35*((1+'Retirement Planning'!$J$24)^(YEAR('Projected Retirement Drawdown'!C23)-YEAR(TODAY())))</f>
        <v>5373.2317046877815</v>
      </c>
      <c r="Z23" s="7">
        <f ca="1">G23+M23+O23+0.85*X23+V23*'Retirement Planning'!$J$46+T23</f>
        <v>5404.3236788414451</v>
      </c>
      <c r="AA23" s="7">
        <f>IF(MONTH(C23)=1,(((MIN(MAX(0,((SUM(Z11:Z22)-'Retirement Planning'!$I$53-'Retirement Planning'!$I$54)-'Retirement Planning'!$J$51)*'Retirement Planning'!$I$52))))+(MIN(MAX(0,((SUM(Z11:Z22)-'Retirement Planning'!$I$53-'Retirement Planning'!$I$54)-'Retirement Planning'!$J$50)*'Retirement Planning'!$I$51),('Retirement Planning'!$J$51-'Retirement Planning'!$J$50)*'Retirement Planning'!$I$51))+(MIN(MAX(0,((SUM(Z11:Z22)-'Retirement Planning'!$I$53-'Retirement Planning'!$I$54)-'Retirement Planning'!$J$49)*'Retirement Planning'!$I$50),('Retirement Planning'!$J$50-'Retirement Planning'!$J$49)*'Retirement Planning'!$I$50)+MIN(MAX(0,((SUM(Z11:Z22)-'Retirement Planning'!$I$53-'Retirement Planning'!$I$54)-'Retirement Planning'!$J$48)*'Retirement Planning'!$I$49),('Retirement Planning'!$J$49-'Retirement Planning'!$J$48)*'Retirement Planning'!$I$49)+MIN(((SUM(Z11:Z22)-'Retirement Planning'!$I$53-'Retirement Planning'!$I$54))*'Retirement Planning'!$I$48,('Retirement Planning'!$J$48)*'Retirement Planning'!$I$48))+(IF((SUM(Z11:Z22)-'Retirement Planning'!$I$54-'Retirement Planning'!$I$61)&gt;'Retirement Planning'!$J$59,(SUM(Z11:Z22)-'Retirement Planning'!$I$54-'Retirement Planning'!$I$61-'Retirement Planning'!$J$59)*'Retirement Planning'!$I$60+'Retirement Planning'!$K$59,IF((SUM(Z11:Z22)-'Retirement Planning'!$I$54-'Retirement Planning'!$I$61)&gt;'Retirement Planning'!$J$58,(SUM(Z11:Z22)-'Retirement Planning'!$I$54-'Retirement Planning'!$I$61-'Retirement Planning'!$J$58)*'Retirement Planning'!$I$59+'Retirement Planning'!$K$58,IF((SUM(Z11:Z22)-'Retirement Planning'!$I$54-'Retirement Planning'!$I$61)&gt;'Retirement Planning'!$J$57,(SUM(Z11:Z22)-'Retirement Planning'!$I$54-'Retirement Planning'!$I$61-'Retirement Planning'!$J$57)*'Retirement Planning'!$I$58+'Retirement Planning'!$K$57,IF((SUM(Z11:Z22)-'Retirement Planning'!$I$54-'Retirement Planning'!$I$61)&gt;'Retirement Planning'!$J$56,(SUM(Z11:Z22)-'Retirement Planning'!$I$54-'Retirement Planning'!$I$61-'Retirement Planning'!$J$56)*'Retirement Planning'!$I$57+'Retirement Planning'!$K$56,(SUM(Z11:Z22)-'Retirement Planning'!$I$54-'Retirement Planning'!$I$61)*'Retirement Planning'!$I$56))))))/12,AA22)</f>
        <v>925</v>
      </c>
      <c r="AB23" s="104">
        <f t="shared" ca="1" si="5"/>
        <v>0.17115925228932574</v>
      </c>
      <c r="AC23" s="7">
        <f>IF(B23&lt;65,'Retirement Planning'!$J$28,0)</f>
        <v>583</v>
      </c>
      <c r="AD23" s="7">
        <f>IF(B23&lt;65,'Retirement Planning'!$J$29/12,0)</f>
        <v>291.66666666666669</v>
      </c>
      <c r="AE23" s="22">
        <f>'Retirement Planning'!$J$31/12</f>
        <v>58.333333333333336</v>
      </c>
      <c r="AF23" s="22">
        <f>'Retirement Planning'!$J$32/12</f>
        <v>66.666666666666671</v>
      </c>
      <c r="AG23" s="7">
        <f>IF($B23&gt;64.9,'Retirement Planning'!$J$39/12,0)</f>
        <v>0</v>
      </c>
      <c r="AH23" s="7">
        <f>IF($B23&gt;64.9,'Retirement Planning'!$J$40/12,0)</f>
        <v>0</v>
      </c>
      <c r="AI23" s="7">
        <f>IF($B23&gt;64.9,'Retirement Planning'!$J$41/12,0)</f>
        <v>0</v>
      </c>
      <c r="AJ23" s="7">
        <f t="shared" ca="1" si="6"/>
        <v>0</v>
      </c>
      <c r="AK23" s="3" t="str">
        <f t="shared" ca="1" si="7"/>
        <v>N/A</v>
      </c>
      <c r="AL23" s="6" t="str">
        <f t="shared" ca="1" si="8"/>
        <v>N/A</v>
      </c>
      <c r="AM23" s="7">
        <f t="shared" ca="1" si="9"/>
        <v>6.8212102632969618E-13</v>
      </c>
      <c r="AN23" s="7">
        <f t="shared" ca="1" si="10"/>
        <v>7297.8983713544485</v>
      </c>
      <c r="AO23" s="7">
        <f t="shared" si="11"/>
        <v>999.66666666666674</v>
      </c>
    </row>
    <row r="24" spans="1:41" x14ac:dyDescent="0.2">
      <c r="A24">
        <f t="shared" si="12"/>
        <v>0</v>
      </c>
      <c r="B24" s="5">
        <f t="shared" si="13"/>
        <v>57.5</v>
      </c>
      <c r="C24" s="56">
        <f t="shared" si="14"/>
        <v>46844</v>
      </c>
      <c r="D24" s="57">
        <f ca="1">IF(AND(B23&lt;59.5,OR(B24&gt;59.5,B24=59.5)),(D23-E23+J23-K23)*(1+'Retirement Planning'!$J$23/12),(D23-E23)*(1+'Retirement Planning'!$J$23/12))</f>
        <v>168681.2982678696</v>
      </c>
      <c r="E24" s="58">
        <f t="shared" ca="1" si="0"/>
        <v>646.19857290096661</v>
      </c>
      <c r="F24" s="57">
        <f>IF(AND(OR(B24&gt;59.5,B24=59.5),B23&lt;59.5),(F23-G23+L23-M23+N23-O23)*(1+'Retirement Planning'!$J$23/12),(F23-G23)*(1+'Retirement Planning'!$J$23/12))</f>
        <v>12554.243759857414</v>
      </c>
      <c r="G24" s="58">
        <f>IF(AND($B$10&lt;55,B24&lt;59.5),'Retirement Planning'!$J$25,IF(OR(B24&gt;59.5,B24=59.5),MAX(0,MIN(F24,IF(D24&lt;2500,((Y24+AJ24+AA24))-X24,((Y24+AJ24+AA24)*'Retirement Planning'!$J$44)-X24))),0))</f>
        <v>0</v>
      </c>
      <c r="H24" s="255">
        <f>IF(MONTH(C24)=1,IF(B24&gt;69.5,F24/(INDEX('Retirement Planning'!D$1:D$264,(160+INT(B24))))/12,0),IF(F24=0,0,H23))</f>
        <v>0</v>
      </c>
      <c r="I24" s="262">
        <f t="shared" si="1"/>
        <v>0</v>
      </c>
      <c r="J24" s="254">
        <f>IF(AND(B23&lt;59.5,OR(B24=59.5,B24&gt;59.5)),0,(J23-K23)*(1+'Retirement Planning'!$J$23/12))</f>
        <v>34732.467801103332</v>
      </c>
      <c r="K24" s="58">
        <f t="shared" si="2"/>
        <v>0</v>
      </c>
      <c r="L24" s="57">
        <f ca="1">IF(AND(OR(B24&gt;59.5,B24=59.5),B23&lt;59.5),0,(L23-M23)*(1+'Retirement Planning'!$J$23/12))</f>
        <v>977081.55279671645</v>
      </c>
      <c r="M24" s="59">
        <f ca="1">IF(AND($B$10&lt;55,B24&lt;59.5),0,IF(B24&lt;59.5,MAX(0,MIN((($Y24+$AJ24+AA24)*'Retirement Planning'!$J$44)-$G24-$X24,L24)),0))</f>
        <v>5101.5676807971031</v>
      </c>
      <c r="N24" s="57">
        <f>(N23-O23)*(1+'Retirement Planning'!$J$23/12)</f>
        <v>0</v>
      </c>
      <c r="O24" s="59">
        <f>IF(B24&gt;59.5,MAX(0,MIN((AA24+$Y24+$AJ24)*(IF(D24&lt;(MIN(E12:E23)+1),1,'Retirement Planning'!$J$44))-M24-$G24-$X24-(IF(D24&lt;(MIN(E12:E23)+1),D24,0)),N24)),0)</f>
        <v>0</v>
      </c>
      <c r="P24" s="57">
        <f t="shared" si="15"/>
        <v>34521.333333333299</v>
      </c>
      <c r="Q24" s="58">
        <f t="shared" si="16"/>
        <v>641.33333333333337</v>
      </c>
      <c r="R24" s="57">
        <f ca="1">(R23-S23-T23)*(1+'Retirement Planning'!$J$23/12)</f>
        <v>182044.69325182948</v>
      </c>
      <c r="S24" s="58">
        <f t="shared" ca="1" si="17"/>
        <v>358.33333333333337</v>
      </c>
      <c r="T24" s="273">
        <f t="shared" ca="1" si="3"/>
        <v>0</v>
      </c>
      <c r="U24" s="57">
        <f ca="1">(U23-V23)*(1+'Retirement Planning'!$J$23/12)</f>
        <v>170533.5231140329</v>
      </c>
      <c r="V24" s="24">
        <f ca="1">IF(AND($B$10&lt;55,B24&lt;59.5),MIN(U24,MAX(0,(Y24+AA24+AJ24-G24)*'Retirement Planning'!$J$45)),IF(B24&lt;59.5,(MIN(U24,MAX(0,((Y24+AA24+AJ24)-G24-M24)*'Retirement Planning'!$J$45))),MIN(U24,MAX(0,(Y24+AA24+AJ24-G24-M24-K24-X24)*'Retirement Planning'!$J$45))))</f>
        <v>550.46545098971205</v>
      </c>
      <c r="W24" s="7">
        <f t="shared" ca="1" si="4"/>
        <v>1580149.1123247424</v>
      </c>
      <c r="X24" s="7">
        <f>(IF(B24&gt;'Retirement Planning'!$J$34,IF('Retirement Planning'!$J$34=70,'Retirement Planning'!$J$37/12,IF('Retirement Planning'!$J$34=67,'Retirement Planning'!$J$36/12,'Retirement Planning'!$J$35/12)),0))*'Retirement Planning'!$J$38</f>
        <v>0</v>
      </c>
      <c r="Y24" s="7">
        <f ca="1">'Retirement Planning'!$F$35*((1+'Retirement Planning'!$J$24)^(YEAR('Projected Retirement Drawdown'!C24)-YEAR(TODAY())))</f>
        <v>5373.2317046877815</v>
      </c>
      <c r="Z24" s="7">
        <f ca="1">G24+M24+O24+0.85*X24+V24*'Retirement Planning'!$J$46+T24</f>
        <v>5404.3236788414451</v>
      </c>
      <c r="AA24" s="7">
        <f>IF(MONTH(C24)=1,(((MIN(MAX(0,((SUM(Z12:Z23)-'Retirement Planning'!$I$53-'Retirement Planning'!$I$54)-'Retirement Planning'!$J$51)*'Retirement Planning'!$I$52))))+(MIN(MAX(0,((SUM(Z12:Z23)-'Retirement Planning'!$I$53-'Retirement Planning'!$I$54)-'Retirement Planning'!$J$50)*'Retirement Planning'!$I$51),('Retirement Planning'!$J$51-'Retirement Planning'!$J$50)*'Retirement Planning'!$I$51))+(MIN(MAX(0,((SUM(Z12:Z23)-'Retirement Planning'!$I$53-'Retirement Planning'!$I$54)-'Retirement Planning'!$J$49)*'Retirement Planning'!$I$50),('Retirement Planning'!$J$50-'Retirement Planning'!$J$49)*'Retirement Planning'!$I$50)+MIN(MAX(0,((SUM(Z12:Z23)-'Retirement Planning'!$I$53-'Retirement Planning'!$I$54)-'Retirement Planning'!$J$48)*'Retirement Planning'!$I$49),('Retirement Planning'!$J$49-'Retirement Planning'!$J$48)*'Retirement Planning'!$I$49)+MIN(((SUM(Z12:Z23)-'Retirement Planning'!$I$53-'Retirement Planning'!$I$54))*'Retirement Planning'!$I$48,('Retirement Planning'!$J$48)*'Retirement Planning'!$I$48))+(IF((SUM(Z12:Z23)-'Retirement Planning'!$I$54-'Retirement Planning'!$I$61)&gt;'Retirement Planning'!$J$59,(SUM(Z12:Z23)-'Retirement Planning'!$I$54-'Retirement Planning'!$I$61-'Retirement Planning'!$J$59)*'Retirement Planning'!$I$60+'Retirement Planning'!$K$59,IF((SUM(Z12:Z23)-'Retirement Planning'!$I$54-'Retirement Planning'!$I$61)&gt;'Retirement Planning'!$J$58,(SUM(Z12:Z23)-'Retirement Planning'!$I$54-'Retirement Planning'!$I$61-'Retirement Planning'!$J$58)*'Retirement Planning'!$I$59+'Retirement Planning'!$K$58,IF((SUM(Z12:Z23)-'Retirement Planning'!$I$54-'Retirement Planning'!$I$61)&gt;'Retirement Planning'!$J$57,(SUM(Z12:Z23)-'Retirement Planning'!$I$54-'Retirement Planning'!$I$61-'Retirement Planning'!$J$57)*'Retirement Planning'!$I$58+'Retirement Planning'!$K$57,IF((SUM(Z12:Z23)-'Retirement Planning'!$I$54-'Retirement Planning'!$I$61)&gt;'Retirement Planning'!$J$56,(SUM(Z12:Z23)-'Retirement Planning'!$I$54-'Retirement Planning'!$I$61-'Retirement Planning'!$J$56)*'Retirement Planning'!$I$57+'Retirement Planning'!$K$56,(SUM(Z12:Z23)-'Retirement Planning'!$I$54-'Retirement Planning'!$I$61)*'Retirement Planning'!$I$56))))))/12,AA23)</f>
        <v>925</v>
      </c>
      <c r="AB24" s="104">
        <f t="shared" ca="1" si="5"/>
        <v>0.17115925228932574</v>
      </c>
      <c r="AC24" s="7">
        <f>IF(B24&lt;65,'Retirement Planning'!$J$28,0)</f>
        <v>583</v>
      </c>
      <c r="AD24" s="7">
        <f>IF(B24&lt;65,'Retirement Planning'!$J$29/12,0)</f>
        <v>291.66666666666669</v>
      </c>
      <c r="AE24" s="22">
        <f>'Retirement Planning'!$J$31/12</f>
        <v>58.333333333333336</v>
      </c>
      <c r="AF24" s="22">
        <f>'Retirement Planning'!$J$32/12</f>
        <v>66.666666666666671</v>
      </c>
      <c r="AG24" s="7">
        <f>IF($B24&gt;64.9,'Retirement Planning'!$J$39/12,0)</f>
        <v>0</v>
      </c>
      <c r="AH24" s="7">
        <f>IF($B24&gt;64.9,'Retirement Planning'!$J$40/12,0)</f>
        <v>0</v>
      </c>
      <c r="AI24" s="7">
        <f>IF($B24&gt;64.9,'Retirement Planning'!$J$41/12,0)</f>
        <v>0</v>
      </c>
      <c r="AJ24" s="7">
        <f t="shared" ca="1" si="6"/>
        <v>0</v>
      </c>
      <c r="AK24" s="3" t="str">
        <f t="shared" ca="1" si="7"/>
        <v>N/A</v>
      </c>
      <c r="AL24" s="6" t="str">
        <f t="shared" ca="1" si="8"/>
        <v>N/A</v>
      </c>
      <c r="AM24" s="7">
        <f t="shared" ca="1" si="9"/>
        <v>6.8212102632969618E-13</v>
      </c>
      <c r="AN24" s="7">
        <f t="shared" ca="1" si="10"/>
        <v>7297.8983713544485</v>
      </c>
      <c r="AO24" s="7">
        <f t="shared" si="11"/>
        <v>999.66666666666674</v>
      </c>
    </row>
    <row r="25" spans="1:41" x14ac:dyDescent="0.2">
      <c r="A25">
        <f t="shared" si="12"/>
        <v>0</v>
      </c>
      <c r="B25" s="5">
        <f t="shared" si="13"/>
        <v>57.5</v>
      </c>
      <c r="C25" s="56">
        <f t="shared" si="14"/>
        <v>46874</v>
      </c>
      <c r="D25" s="57">
        <f ca="1">IF(AND(B24&lt;59.5,OR(B25&gt;59.5,B25=59.5)),(D24-E24+J24-K24)*(1+'Retirement Planning'!$J$23/12),(D24-E24)*(1+'Retirement Planning'!$J$23/12))</f>
        <v>169225.34831780801</v>
      </c>
      <c r="E25" s="58">
        <f t="shared" ca="1" si="0"/>
        <v>646.19857290096661</v>
      </c>
      <c r="F25" s="57">
        <f>IF(AND(OR(B25&gt;59.5,B25=59.5),B24&lt;59.5),(F24-G24+L24-M24+N24-O24)*(1+'Retirement Planning'!$J$23/12),(F24-G24)*(1+'Retirement Planning'!$J$23/12))</f>
        <v>12643.169653156405</v>
      </c>
      <c r="G25" s="58">
        <f>IF(AND($B$10&lt;55,B25&lt;59.5),'Retirement Planning'!$J$25,IF(OR(B25&gt;59.5,B25=59.5),MAX(0,MIN(F25,IF(D25&lt;2500,((Y25+AJ25+AA25))-X25,((Y25+AJ25+AA25)*'Retirement Planning'!$J$44)-X25))),0))</f>
        <v>0</v>
      </c>
      <c r="H25" s="255">
        <f>IF(MONTH(C25)=1,IF(B25&gt;69.5,F25/(INDEX('Retirement Planning'!D$1:D$264,(160+INT(B25))))/12,0),IF(F25=0,0,H24))</f>
        <v>0</v>
      </c>
      <c r="I25" s="262">
        <f t="shared" si="1"/>
        <v>0</v>
      </c>
      <c r="J25" s="254">
        <f>IF(AND(B24&lt;59.5,OR(B25=59.5,B25&gt;59.5)),0,(J24-K24)*(1+'Retirement Planning'!$J$23/12))</f>
        <v>34978.489448027816</v>
      </c>
      <c r="K25" s="58">
        <f t="shared" si="2"/>
        <v>0</v>
      </c>
      <c r="L25" s="57">
        <f ca="1">IF(AND(OR(B25&gt;59.5,B25=59.5),B24&lt;59.5),0,(L24-M24)*(1+'Retirement Planning'!$J$23/12))</f>
        <v>978864.8433438238</v>
      </c>
      <c r="M25" s="59">
        <f ca="1">IF(AND($B$10&lt;55,B25&lt;59.5),0,IF(B25&lt;59.5,MAX(0,MIN((($Y25+$AJ25+AA25)*'Retirement Planning'!$J$44)-$G25-$X25,L25)),0))</f>
        <v>5101.5676807971031</v>
      </c>
      <c r="N25" s="57">
        <f>(N24-O24)*(1+'Retirement Planning'!$J$23/12)</f>
        <v>0</v>
      </c>
      <c r="O25" s="59">
        <f>IF(B25&gt;59.5,MAX(0,MIN((AA25+$Y25+$AJ25)*(IF(D25&lt;(MIN(E13:E24)+1),1,'Retirement Planning'!$J$44))-M25-$G25-$X25-(IF(D25&lt;(MIN(E13:E24)+1),D25,0)),N25)),0)</f>
        <v>0</v>
      </c>
      <c r="P25" s="57">
        <f t="shared" si="15"/>
        <v>33879.999999999964</v>
      </c>
      <c r="Q25" s="58">
        <f t="shared" si="16"/>
        <v>641.33333333333337</v>
      </c>
      <c r="R25" s="57">
        <f ca="1">(R24-S24-T24)*(1+'Retirement Planning'!$J$23/12)</f>
        <v>182973.30496791881</v>
      </c>
      <c r="S25" s="58">
        <f t="shared" ca="1" si="17"/>
        <v>358.33333333333337</v>
      </c>
      <c r="T25" s="273">
        <f t="shared" ca="1" si="3"/>
        <v>0</v>
      </c>
      <c r="U25" s="57">
        <f ca="1">(U24-V24)*(1+'Retirement Planning'!$J$23/12)</f>
        <v>171187.10432148972</v>
      </c>
      <c r="V25" s="24">
        <f ca="1">IF(AND($B$10&lt;55,B25&lt;59.5),MIN(U25,MAX(0,(Y25+AA25+AJ25-G25)*'Retirement Planning'!$J$45)),IF(B25&lt;59.5,(MIN(U25,MAX(0,((Y25+AA25+AJ25)-G25-M25)*'Retirement Planning'!$J$45))),MIN(U25,MAX(0,(Y25+AA25+AJ25-G25-M25-K25-X25)*'Retirement Planning'!$J$45))))</f>
        <v>550.46545098971205</v>
      </c>
      <c r="W25" s="7">
        <f t="shared" ca="1" si="4"/>
        <v>1583752.2600522249</v>
      </c>
      <c r="X25" s="7">
        <f>(IF(B25&gt;'Retirement Planning'!$J$34,IF('Retirement Planning'!$J$34=70,'Retirement Planning'!$J$37/12,IF('Retirement Planning'!$J$34=67,'Retirement Planning'!$J$36/12,'Retirement Planning'!$J$35/12)),0))*'Retirement Planning'!$J$38</f>
        <v>0</v>
      </c>
      <c r="Y25" s="7">
        <f ca="1">'Retirement Planning'!$F$35*((1+'Retirement Planning'!$J$24)^(YEAR('Projected Retirement Drawdown'!C25)-YEAR(TODAY())))</f>
        <v>5373.2317046877815</v>
      </c>
      <c r="Z25" s="7">
        <f ca="1">G25+M25+O25+0.85*X25+V25*'Retirement Planning'!$J$46+T25</f>
        <v>5404.3236788414451</v>
      </c>
      <c r="AA25" s="7">
        <f>IF(MONTH(C25)=1,(((MIN(MAX(0,((SUM(Z13:Z24)-'Retirement Planning'!$I$53-'Retirement Planning'!$I$54)-'Retirement Planning'!$J$51)*'Retirement Planning'!$I$52))))+(MIN(MAX(0,((SUM(Z13:Z24)-'Retirement Planning'!$I$53-'Retirement Planning'!$I$54)-'Retirement Planning'!$J$50)*'Retirement Planning'!$I$51),('Retirement Planning'!$J$51-'Retirement Planning'!$J$50)*'Retirement Planning'!$I$51))+(MIN(MAX(0,((SUM(Z13:Z24)-'Retirement Planning'!$I$53-'Retirement Planning'!$I$54)-'Retirement Planning'!$J$49)*'Retirement Planning'!$I$50),('Retirement Planning'!$J$50-'Retirement Planning'!$J$49)*'Retirement Planning'!$I$50)+MIN(MAX(0,((SUM(Z13:Z24)-'Retirement Planning'!$I$53-'Retirement Planning'!$I$54)-'Retirement Planning'!$J$48)*'Retirement Planning'!$I$49),('Retirement Planning'!$J$49-'Retirement Planning'!$J$48)*'Retirement Planning'!$I$49)+MIN(((SUM(Z13:Z24)-'Retirement Planning'!$I$53-'Retirement Planning'!$I$54))*'Retirement Planning'!$I$48,('Retirement Planning'!$J$48)*'Retirement Planning'!$I$48))+(IF((SUM(Z13:Z24)-'Retirement Planning'!$I$54-'Retirement Planning'!$I$61)&gt;'Retirement Planning'!$J$59,(SUM(Z13:Z24)-'Retirement Planning'!$I$54-'Retirement Planning'!$I$61-'Retirement Planning'!$J$59)*'Retirement Planning'!$I$60+'Retirement Planning'!$K$59,IF((SUM(Z13:Z24)-'Retirement Planning'!$I$54-'Retirement Planning'!$I$61)&gt;'Retirement Planning'!$J$58,(SUM(Z13:Z24)-'Retirement Planning'!$I$54-'Retirement Planning'!$I$61-'Retirement Planning'!$J$58)*'Retirement Planning'!$I$59+'Retirement Planning'!$K$58,IF((SUM(Z13:Z24)-'Retirement Planning'!$I$54-'Retirement Planning'!$I$61)&gt;'Retirement Planning'!$J$57,(SUM(Z13:Z24)-'Retirement Planning'!$I$54-'Retirement Planning'!$I$61-'Retirement Planning'!$J$57)*'Retirement Planning'!$I$58+'Retirement Planning'!$K$57,IF((SUM(Z13:Z24)-'Retirement Planning'!$I$54-'Retirement Planning'!$I$61)&gt;'Retirement Planning'!$J$56,(SUM(Z13:Z24)-'Retirement Planning'!$I$54-'Retirement Planning'!$I$61-'Retirement Planning'!$J$56)*'Retirement Planning'!$I$57+'Retirement Planning'!$K$56,(SUM(Z13:Z24)-'Retirement Planning'!$I$54-'Retirement Planning'!$I$61)*'Retirement Planning'!$I$56))))))/12,AA24)</f>
        <v>925</v>
      </c>
      <c r="AB25" s="104">
        <f t="shared" ca="1" si="5"/>
        <v>0.17115925228932574</v>
      </c>
      <c r="AC25" s="7">
        <f>IF(B25&lt;65,'Retirement Planning'!$J$28,0)</f>
        <v>583</v>
      </c>
      <c r="AD25" s="7">
        <f>IF(B25&lt;65,'Retirement Planning'!$J$29/12,0)</f>
        <v>291.66666666666669</v>
      </c>
      <c r="AE25" s="22">
        <f>'Retirement Planning'!$J$31/12</f>
        <v>58.333333333333336</v>
      </c>
      <c r="AF25" s="22">
        <f>'Retirement Planning'!$J$32/12</f>
        <v>66.666666666666671</v>
      </c>
      <c r="AG25" s="7">
        <f>IF($B25&gt;64.9,'Retirement Planning'!$J$39/12,0)</f>
        <v>0</v>
      </c>
      <c r="AH25" s="7">
        <f>IF($B25&gt;64.9,'Retirement Planning'!$J$40/12,0)</f>
        <v>0</v>
      </c>
      <c r="AI25" s="7">
        <f>IF($B25&gt;64.9,'Retirement Planning'!$J$41/12,0)</f>
        <v>0</v>
      </c>
      <c r="AJ25" s="7">
        <f t="shared" ca="1" si="6"/>
        <v>0</v>
      </c>
      <c r="AK25" s="3" t="str">
        <f t="shared" ca="1" si="7"/>
        <v>N/A</v>
      </c>
      <c r="AL25" s="6" t="str">
        <f t="shared" ca="1" si="8"/>
        <v>N/A</v>
      </c>
      <c r="AM25" s="7">
        <f t="shared" ca="1" si="9"/>
        <v>6.8212102632969618E-13</v>
      </c>
      <c r="AN25" s="7">
        <f t="shared" ca="1" si="10"/>
        <v>7297.8983713544485</v>
      </c>
      <c r="AO25" s="7">
        <f t="shared" si="11"/>
        <v>999.66666666666674</v>
      </c>
    </row>
    <row r="26" spans="1:41" x14ac:dyDescent="0.2">
      <c r="A26">
        <f t="shared" si="12"/>
        <v>0</v>
      </c>
      <c r="B26" s="5">
        <f t="shared" si="13"/>
        <v>57.6</v>
      </c>
      <c r="C26" s="56">
        <f t="shared" si="14"/>
        <v>46905</v>
      </c>
      <c r="D26" s="57">
        <f ca="1">IF(AND(B25&lt;59.5,OR(B26&gt;59.5,B26=59.5)),(D25-E25+J25-K25)*(1+'Retirement Planning'!$J$23/12),(D25-E25)*(1+'Retirement Planning'!$J$23/12))</f>
        <v>169773.25205560014</v>
      </c>
      <c r="E26" s="58">
        <f t="shared" ca="1" si="0"/>
        <v>646.19857290096661</v>
      </c>
      <c r="F26" s="57">
        <f>IF(AND(OR(B26&gt;59.5,B26=59.5),B25&lt;59.5),(F25-G25+L25-M25+N25-O25)*(1+'Retirement Planning'!$J$23/12),(F25-G25)*(1+'Retirement Planning'!$J$23/12))</f>
        <v>12732.725438199595</v>
      </c>
      <c r="G26" s="58">
        <f>IF(AND($B$10&lt;55,B26&lt;59.5),'Retirement Planning'!$J$25,IF(OR(B26&gt;59.5,B26=59.5),MAX(0,MIN(F26,IF(D26&lt;2500,((Y26+AJ26+AA26))-X26,((Y26+AJ26+AA26)*'Retirement Planning'!$J$44)-X26))),0))</f>
        <v>0</v>
      </c>
      <c r="H26" s="255">
        <f>IF(MONTH(C26)=1,IF(B26&gt;69.5,F26/(INDEX('Retirement Planning'!D$1:D$264,(160+INT(B26))))/12,0),IF(F26=0,0,H25))</f>
        <v>0</v>
      </c>
      <c r="I26" s="262">
        <f t="shared" si="1"/>
        <v>0</v>
      </c>
      <c r="J26" s="254">
        <f>IF(AND(B25&lt;59.5,OR(B26=59.5,B26&gt;59.5)),0,(J25-K25)*(1+'Retirement Planning'!$J$23/12))</f>
        <v>35226.253748284682</v>
      </c>
      <c r="K26" s="58">
        <f t="shared" si="2"/>
        <v>0</v>
      </c>
      <c r="L26" s="57">
        <f ca="1">IF(AND(OR(B26&gt;59.5,B26=59.5),B25&lt;59.5),0,(L25-M25)*(1+'Retirement Planning'!$J$23/12))</f>
        <v>980660.76553230651</v>
      </c>
      <c r="M26" s="59">
        <f ca="1">IF(AND($B$10&lt;55,B26&lt;59.5),0,IF(B26&lt;59.5,MAX(0,MIN((($Y26+$AJ26+AA26)*'Retirement Planning'!$J$44)-$G26-$X26,L26)),0))</f>
        <v>5101.5676807971031</v>
      </c>
      <c r="N26" s="57">
        <f>(N25-O25)*(1+'Retirement Planning'!$J$23/12)</f>
        <v>0</v>
      </c>
      <c r="O26" s="59">
        <f>IF(B26&gt;59.5,MAX(0,MIN((AA26+$Y26+$AJ26)*(IF(D26&lt;(MIN(E14:E25)+1),1,'Retirement Planning'!$J$44))-M26-$G26-$X26-(IF(D26&lt;(MIN(E14:E25)+1),D26,0)),N26)),0)</f>
        <v>0</v>
      </c>
      <c r="P26" s="57">
        <f t="shared" si="15"/>
        <v>33238.666666666628</v>
      </c>
      <c r="Q26" s="58">
        <f t="shared" si="16"/>
        <v>641.33333333333337</v>
      </c>
      <c r="R26" s="57">
        <f ca="1">(R25-S25-T25)*(1+'Retirement Planning'!$J$23/12)</f>
        <v>183908.49435033044</v>
      </c>
      <c r="S26" s="58">
        <f t="shared" ca="1" si="17"/>
        <v>358.33333333333337</v>
      </c>
      <c r="T26" s="273">
        <f t="shared" ca="1" si="3"/>
        <v>0</v>
      </c>
      <c r="U26" s="57">
        <f ca="1">(U25-V25)*(1+'Retirement Planning'!$J$23/12)</f>
        <v>171845.31506249937</v>
      </c>
      <c r="V26" s="24">
        <f ca="1">IF(AND($B$10&lt;55,B26&lt;59.5),MIN(U26,MAX(0,(Y26+AA26+AJ26-G26)*'Retirement Planning'!$J$45)),IF(B26&lt;59.5,(MIN(U26,MAX(0,((Y26+AA26+AJ26)-G26-M26)*'Retirement Planning'!$J$45))),MIN(U26,MAX(0,(Y26+AA26+AJ26-G26-M26-K26-X26)*'Retirement Planning'!$J$45))))</f>
        <v>550.46545098971205</v>
      </c>
      <c r="W26" s="7">
        <f t="shared" ca="1" si="4"/>
        <v>1587385.4728538871</v>
      </c>
      <c r="X26" s="7">
        <f>(IF(B26&gt;'Retirement Planning'!$J$34,IF('Retirement Planning'!$J$34=70,'Retirement Planning'!$J$37/12,IF('Retirement Planning'!$J$34=67,'Retirement Planning'!$J$36/12,'Retirement Planning'!$J$35/12)),0))*'Retirement Planning'!$J$38</f>
        <v>0</v>
      </c>
      <c r="Y26" s="7">
        <f ca="1">'Retirement Planning'!$F$35*((1+'Retirement Planning'!$J$24)^(YEAR('Projected Retirement Drawdown'!C26)-YEAR(TODAY())))</f>
        <v>5373.2317046877815</v>
      </c>
      <c r="Z26" s="7">
        <f ca="1">G26+M26+O26+0.85*X26+V26*'Retirement Planning'!$J$46+T26</f>
        <v>5404.3236788414451</v>
      </c>
      <c r="AA26" s="7">
        <f>IF(MONTH(C26)=1,(((MIN(MAX(0,((SUM(Z14:Z25)-'Retirement Planning'!$I$53-'Retirement Planning'!$I$54)-'Retirement Planning'!$J$51)*'Retirement Planning'!$I$52))))+(MIN(MAX(0,((SUM(Z14:Z25)-'Retirement Planning'!$I$53-'Retirement Planning'!$I$54)-'Retirement Planning'!$J$50)*'Retirement Planning'!$I$51),('Retirement Planning'!$J$51-'Retirement Planning'!$J$50)*'Retirement Planning'!$I$51))+(MIN(MAX(0,((SUM(Z14:Z25)-'Retirement Planning'!$I$53-'Retirement Planning'!$I$54)-'Retirement Planning'!$J$49)*'Retirement Planning'!$I$50),('Retirement Planning'!$J$50-'Retirement Planning'!$J$49)*'Retirement Planning'!$I$50)+MIN(MAX(0,((SUM(Z14:Z25)-'Retirement Planning'!$I$53-'Retirement Planning'!$I$54)-'Retirement Planning'!$J$48)*'Retirement Planning'!$I$49),('Retirement Planning'!$J$49-'Retirement Planning'!$J$48)*'Retirement Planning'!$I$49)+MIN(((SUM(Z14:Z25)-'Retirement Planning'!$I$53-'Retirement Planning'!$I$54))*'Retirement Planning'!$I$48,('Retirement Planning'!$J$48)*'Retirement Planning'!$I$48))+(IF((SUM(Z14:Z25)-'Retirement Planning'!$I$54-'Retirement Planning'!$I$61)&gt;'Retirement Planning'!$J$59,(SUM(Z14:Z25)-'Retirement Planning'!$I$54-'Retirement Planning'!$I$61-'Retirement Planning'!$J$59)*'Retirement Planning'!$I$60+'Retirement Planning'!$K$59,IF((SUM(Z14:Z25)-'Retirement Planning'!$I$54-'Retirement Planning'!$I$61)&gt;'Retirement Planning'!$J$58,(SUM(Z14:Z25)-'Retirement Planning'!$I$54-'Retirement Planning'!$I$61-'Retirement Planning'!$J$58)*'Retirement Planning'!$I$59+'Retirement Planning'!$K$58,IF((SUM(Z14:Z25)-'Retirement Planning'!$I$54-'Retirement Planning'!$I$61)&gt;'Retirement Planning'!$J$57,(SUM(Z14:Z25)-'Retirement Planning'!$I$54-'Retirement Planning'!$I$61-'Retirement Planning'!$J$57)*'Retirement Planning'!$I$58+'Retirement Planning'!$K$57,IF((SUM(Z14:Z25)-'Retirement Planning'!$I$54-'Retirement Planning'!$I$61)&gt;'Retirement Planning'!$J$56,(SUM(Z14:Z25)-'Retirement Planning'!$I$54-'Retirement Planning'!$I$61-'Retirement Planning'!$J$56)*'Retirement Planning'!$I$57+'Retirement Planning'!$K$56,(SUM(Z14:Z25)-'Retirement Planning'!$I$54-'Retirement Planning'!$I$61)*'Retirement Planning'!$I$56))))))/12,AA25)</f>
        <v>925</v>
      </c>
      <c r="AB26" s="104">
        <f t="shared" ca="1" si="5"/>
        <v>0.17115925228932574</v>
      </c>
      <c r="AC26" s="7">
        <f>IF(B26&lt;65,'Retirement Planning'!$J$28,0)</f>
        <v>583</v>
      </c>
      <c r="AD26" s="7">
        <f>IF(B26&lt;65,'Retirement Planning'!$J$29/12,0)</f>
        <v>291.66666666666669</v>
      </c>
      <c r="AE26" s="22">
        <f>'Retirement Planning'!$J$31/12</f>
        <v>58.333333333333336</v>
      </c>
      <c r="AF26" s="22">
        <f>'Retirement Planning'!$J$32/12</f>
        <v>66.666666666666671</v>
      </c>
      <c r="AG26" s="7">
        <f>IF($B26&gt;64.9,'Retirement Planning'!$J$39/12,0)</f>
        <v>0</v>
      </c>
      <c r="AH26" s="7">
        <f>IF($B26&gt;64.9,'Retirement Planning'!$J$40/12,0)</f>
        <v>0</v>
      </c>
      <c r="AI26" s="7">
        <f>IF($B26&gt;64.9,'Retirement Planning'!$J$41/12,0)</f>
        <v>0</v>
      </c>
      <c r="AJ26" s="7">
        <f t="shared" ca="1" si="6"/>
        <v>0</v>
      </c>
      <c r="AK26" s="3" t="str">
        <f t="shared" ca="1" si="7"/>
        <v>N/A</v>
      </c>
      <c r="AL26" s="6" t="str">
        <f t="shared" ca="1" si="8"/>
        <v>N/A</v>
      </c>
      <c r="AM26" s="7">
        <f t="shared" ca="1" si="9"/>
        <v>6.8212102632969618E-13</v>
      </c>
      <c r="AN26" s="7">
        <f t="shared" ca="1" si="10"/>
        <v>7297.8983713544485</v>
      </c>
      <c r="AO26" s="7">
        <f t="shared" si="11"/>
        <v>999.66666666666674</v>
      </c>
    </row>
    <row r="27" spans="1:41" x14ac:dyDescent="0.2">
      <c r="A27">
        <f t="shared" si="12"/>
        <v>0</v>
      </c>
      <c r="B27" s="5">
        <f t="shared" si="13"/>
        <v>57.7</v>
      </c>
      <c r="C27" s="56">
        <f t="shared" si="14"/>
        <v>46935</v>
      </c>
      <c r="D27" s="57">
        <f ca="1">IF(AND(B26&lt;59.5,OR(B27&gt;59.5,B27=59.5)),(D26-E26+J26-K26)*(1+'Retirement Planning'!$J$23/12),(D26-E26)*(1+'Retirement Planning'!$J$23/12))</f>
        <v>170325.03677820164</v>
      </c>
      <c r="E27" s="58">
        <f t="shared" ca="1" si="0"/>
        <v>646.19857290096661</v>
      </c>
      <c r="F27" s="57">
        <f>IF(AND(OR(B27&gt;59.5,B27=59.5),B26&lt;59.5),(F26-G26+L26-M26+N26-O26)*(1+'Retirement Planning'!$J$23/12),(F26-G26)*(1+'Retirement Planning'!$J$23/12))</f>
        <v>12822.915576720176</v>
      </c>
      <c r="G27" s="58">
        <f>IF(AND($B$10&lt;55,B27&lt;59.5),'Retirement Planning'!$J$25,IF(OR(B27&gt;59.5,B27=59.5),MAX(0,MIN(F27,IF(D27&lt;2500,((Y27+AJ27+AA27))-X27,((Y27+AJ27+AA27)*'Retirement Planning'!$J$44)-X27))),0))</f>
        <v>0</v>
      </c>
      <c r="H27" s="255">
        <f>IF(MONTH(C27)=1,IF(B27&gt;69.5,F27/(INDEX('Retirement Planning'!D$1:D$264,(160+INT(B27))))/12,0),IF(F27=0,0,H26))</f>
        <v>0</v>
      </c>
      <c r="I27" s="262">
        <f t="shared" si="1"/>
        <v>0</v>
      </c>
      <c r="J27" s="254">
        <f>IF(AND(B26&lt;59.5,OR(B27=59.5,B27&gt;59.5)),0,(J26-K26)*(1+'Retirement Planning'!$J$23/12))</f>
        <v>35475.773045668364</v>
      </c>
      <c r="K27" s="58">
        <f t="shared" si="2"/>
        <v>0</v>
      </c>
      <c r="L27" s="57">
        <f ca="1">IF(AND(OR(B27&gt;59.5,B27=59.5),B26&lt;59.5),0,(L26-M26)*(1+'Retirement Planning'!$J$23/12))</f>
        <v>982469.40883629094</v>
      </c>
      <c r="M27" s="59">
        <f ca="1">IF(AND($B$10&lt;55,B27&lt;59.5),0,IF(B27&lt;59.5,MAX(0,MIN((($Y27+$AJ27+AA27)*'Retirement Planning'!$J$44)-$G27-$X27,L27)),0))</f>
        <v>5101.5676807971031</v>
      </c>
      <c r="N27" s="57">
        <f>(N26-O26)*(1+'Retirement Planning'!$J$23/12)</f>
        <v>0</v>
      </c>
      <c r="O27" s="59">
        <f>IF(B27&gt;59.5,MAX(0,MIN((AA27+$Y27+$AJ27)*(IF(D27&lt;(MIN(E15:E26)+1),1,'Retirement Planning'!$J$44))-M27-$G27-$X27-(IF(D27&lt;(MIN(E15:E26)+1),D27,0)),N27)),0)</f>
        <v>0</v>
      </c>
      <c r="P27" s="57">
        <f t="shared" si="15"/>
        <v>32597.333333333296</v>
      </c>
      <c r="Q27" s="58">
        <f t="shared" si="16"/>
        <v>641.33333333333337</v>
      </c>
      <c r="R27" s="57">
        <f ca="1">(R26-S26-T26)*(1+'Retirement Planning'!$J$23/12)</f>
        <v>184850.3079908675</v>
      </c>
      <c r="S27" s="58">
        <f t="shared" ca="1" si="17"/>
        <v>358.33333333333337</v>
      </c>
      <c r="T27" s="273">
        <f t="shared" ca="1" si="3"/>
        <v>0</v>
      </c>
      <c r="U27" s="57">
        <f ca="1">(U26-V26)*(1+'Retirement Planning'!$J$23/12)</f>
        <v>172508.18812959117</v>
      </c>
      <c r="V27" s="24">
        <f ca="1">IF(AND($B$10&lt;55,B27&lt;59.5),MIN(U27,MAX(0,(Y27+AA27+AJ27-G27)*'Retirement Planning'!$J$45)),IF(B27&lt;59.5,(MIN(U27,MAX(0,((Y27+AA27+AJ27)-G27-M27)*'Retirement Planning'!$J$45))),MIN(U27,MAX(0,(Y27+AA27+AJ27-G27-M27-K27-X27)*'Retirement Planning'!$J$45))))</f>
        <v>550.46545098971205</v>
      </c>
      <c r="W27" s="7">
        <f t="shared" ca="1" si="4"/>
        <v>1591048.963690673</v>
      </c>
      <c r="X27" s="7">
        <f>(IF(B27&gt;'Retirement Planning'!$J$34,IF('Retirement Planning'!$J$34=70,'Retirement Planning'!$J$37/12,IF('Retirement Planning'!$J$34=67,'Retirement Planning'!$J$36/12,'Retirement Planning'!$J$35/12)),0))*'Retirement Planning'!$J$38</f>
        <v>0</v>
      </c>
      <c r="Y27" s="7">
        <f ca="1">'Retirement Planning'!$F$35*((1+'Retirement Planning'!$J$24)^(YEAR('Projected Retirement Drawdown'!C27)-YEAR(TODAY())))</f>
        <v>5373.2317046877815</v>
      </c>
      <c r="Z27" s="7">
        <f ca="1">G27+M27+O27+0.85*X27+V27*'Retirement Planning'!$J$46+T27</f>
        <v>5404.3236788414451</v>
      </c>
      <c r="AA27" s="7">
        <f>IF(MONTH(C27)=1,(((MIN(MAX(0,((SUM(Z15:Z26)-'Retirement Planning'!$I$53-'Retirement Planning'!$I$54)-'Retirement Planning'!$J$51)*'Retirement Planning'!$I$52))))+(MIN(MAX(0,((SUM(Z15:Z26)-'Retirement Planning'!$I$53-'Retirement Planning'!$I$54)-'Retirement Planning'!$J$50)*'Retirement Planning'!$I$51),('Retirement Planning'!$J$51-'Retirement Planning'!$J$50)*'Retirement Planning'!$I$51))+(MIN(MAX(0,((SUM(Z15:Z26)-'Retirement Planning'!$I$53-'Retirement Planning'!$I$54)-'Retirement Planning'!$J$49)*'Retirement Planning'!$I$50),('Retirement Planning'!$J$50-'Retirement Planning'!$J$49)*'Retirement Planning'!$I$50)+MIN(MAX(0,((SUM(Z15:Z26)-'Retirement Planning'!$I$53-'Retirement Planning'!$I$54)-'Retirement Planning'!$J$48)*'Retirement Planning'!$I$49),('Retirement Planning'!$J$49-'Retirement Planning'!$J$48)*'Retirement Planning'!$I$49)+MIN(((SUM(Z15:Z26)-'Retirement Planning'!$I$53-'Retirement Planning'!$I$54))*'Retirement Planning'!$I$48,('Retirement Planning'!$J$48)*'Retirement Planning'!$I$48))+(IF((SUM(Z15:Z26)-'Retirement Planning'!$I$54-'Retirement Planning'!$I$61)&gt;'Retirement Planning'!$J$59,(SUM(Z15:Z26)-'Retirement Planning'!$I$54-'Retirement Planning'!$I$61-'Retirement Planning'!$J$59)*'Retirement Planning'!$I$60+'Retirement Planning'!$K$59,IF((SUM(Z15:Z26)-'Retirement Planning'!$I$54-'Retirement Planning'!$I$61)&gt;'Retirement Planning'!$J$58,(SUM(Z15:Z26)-'Retirement Planning'!$I$54-'Retirement Planning'!$I$61-'Retirement Planning'!$J$58)*'Retirement Planning'!$I$59+'Retirement Planning'!$K$58,IF((SUM(Z15:Z26)-'Retirement Planning'!$I$54-'Retirement Planning'!$I$61)&gt;'Retirement Planning'!$J$57,(SUM(Z15:Z26)-'Retirement Planning'!$I$54-'Retirement Planning'!$I$61-'Retirement Planning'!$J$57)*'Retirement Planning'!$I$58+'Retirement Planning'!$K$57,IF((SUM(Z15:Z26)-'Retirement Planning'!$I$54-'Retirement Planning'!$I$61)&gt;'Retirement Planning'!$J$56,(SUM(Z15:Z26)-'Retirement Planning'!$I$54-'Retirement Planning'!$I$61-'Retirement Planning'!$J$56)*'Retirement Planning'!$I$57+'Retirement Planning'!$K$56,(SUM(Z15:Z26)-'Retirement Planning'!$I$54-'Retirement Planning'!$I$61)*'Retirement Planning'!$I$56))))))/12,AA26)</f>
        <v>925</v>
      </c>
      <c r="AB27" s="104">
        <f t="shared" ca="1" si="5"/>
        <v>0.17115925228932574</v>
      </c>
      <c r="AC27" s="7">
        <f>IF(B27&lt;65,'Retirement Planning'!$J$28,0)</f>
        <v>583</v>
      </c>
      <c r="AD27" s="7">
        <f>IF(B27&lt;65,'Retirement Planning'!$J$29/12,0)</f>
        <v>291.66666666666669</v>
      </c>
      <c r="AE27" s="22">
        <f>'Retirement Planning'!$J$31/12</f>
        <v>58.333333333333336</v>
      </c>
      <c r="AF27" s="22">
        <f>'Retirement Planning'!$J$32/12</f>
        <v>66.666666666666671</v>
      </c>
      <c r="AG27" s="7">
        <f>IF($B27&gt;64.9,'Retirement Planning'!$J$39/12,0)</f>
        <v>0</v>
      </c>
      <c r="AH27" s="7">
        <f>IF($B27&gt;64.9,'Retirement Planning'!$J$40/12,0)</f>
        <v>0</v>
      </c>
      <c r="AI27" s="7">
        <f>IF($B27&gt;64.9,'Retirement Planning'!$J$41/12,0)</f>
        <v>0</v>
      </c>
      <c r="AJ27" s="7">
        <f t="shared" ca="1" si="6"/>
        <v>0</v>
      </c>
      <c r="AK27" s="3" t="str">
        <f t="shared" ca="1" si="7"/>
        <v>N/A</v>
      </c>
      <c r="AL27" s="6" t="str">
        <f t="shared" ca="1" si="8"/>
        <v>N/A</v>
      </c>
      <c r="AM27" s="7">
        <f t="shared" ca="1" si="9"/>
        <v>6.8212102632969618E-13</v>
      </c>
      <c r="AN27" s="7">
        <f t="shared" ca="1" si="10"/>
        <v>7297.8983713544485</v>
      </c>
      <c r="AO27" s="7">
        <f t="shared" si="11"/>
        <v>999.66666666666674</v>
      </c>
    </row>
    <row r="28" spans="1:41" x14ac:dyDescent="0.2">
      <c r="A28">
        <f t="shared" si="12"/>
        <v>0</v>
      </c>
      <c r="B28" s="5">
        <f t="shared" si="13"/>
        <v>57.8</v>
      </c>
      <c r="C28" s="56">
        <f t="shared" si="14"/>
        <v>46966</v>
      </c>
      <c r="D28" s="57">
        <f ca="1">IF(AND(B27&lt;59.5,OR(B28&gt;59.5,B28=59.5)),(D27-E27+J27-K27)*(1+'Retirement Planning'!$J$23/12),(D27-E27)*(1+'Retirement Planning'!$J$23/12))</f>
        <v>170880.72997592157</v>
      </c>
      <c r="E28" s="58">
        <f t="shared" ca="1" si="0"/>
        <v>646.19857290096661</v>
      </c>
      <c r="F28" s="57">
        <f>IF(AND(OR(B28&gt;59.5,B28=59.5),B27&lt;59.5),(F27-G27+L27-M27+N27-O27)*(1+'Retirement Planning'!$J$23/12),(F27-G27)*(1+'Retirement Planning'!$J$23/12))</f>
        <v>12913.744562055277</v>
      </c>
      <c r="G28" s="58">
        <f>IF(AND($B$10&lt;55,B28&lt;59.5),'Retirement Planning'!$J$25,IF(OR(B28&gt;59.5,B28=59.5),MAX(0,MIN(F28,IF(D28&lt;2500,((Y28+AJ28+AA28))-X28,((Y28+AJ28+AA28)*'Retirement Planning'!$J$44)-X28))),0))</f>
        <v>0</v>
      </c>
      <c r="H28" s="255">
        <f>IF(MONTH(C28)=1,IF(B28&gt;69.5,F28/(INDEX('Retirement Planning'!D$1:D$264,(160+INT(B28))))/12,0),IF(F28=0,0,H27))</f>
        <v>0</v>
      </c>
      <c r="I28" s="262">
        <f t="shared" si="1"/>
        <v>0</v>
      </c>
      <c r="J28" s="254">
        <f>IF(AND(B27&lt;59.5,OR(B28=59.5,B28&gt;59.5)),0,(J27-K27)*(1+'Retirement Planning'!$J$23/12))</f>
        <v>35727.059771408516</v>
      </c>
      <c r="K28" s="58">
        <f t="shared" si="2"/>
        <v>0</v>
      </c>
      <c r="L28" s="57">
        <f ca="1">IF(AND(OR(B28&gt;59.5,B28=59.5),B27&lt;59.5),0,(L27-M27)*(1+'Retirement Planning'!$J$23/12))</f>
        <v>984290.86336367857</v>
      </c>
      <c r="M28" s="59">
        <f ca="1">IF(AND($B$10&lt;55,B28&lt;59.5),0,IF(B28&lt;59.5,MAX(0,MIN((($Y28+$AJ28+AA28)*'Retirement Planning'!$J$44)-$G28-$X28,L28)),0))</f>
        <v>5101.5676807971031</v>
      </c>
      <c r="N28" s="57">
        <f>(N27-O27)*(1+'Retirement Planning'!$J$23/12)</f>
        <v>0</v>
      </c>
      <c r="O28" s="59">
        <f>IF(B28&gt;59.5,MAX(0,MIN((AA28+$Y28+$AJ28)*(IF(D28&lt;(MIN(E16:E27)+1),1,'Retirement Planning'!$J$44))-M28-$G28-$X28-(IF(D28&lt;(MIN(E16:E27)+1),D28,0)),N28)),0)</f>
        <v>0</v>
      </c>
      <c r="P28" s="57">
        <f t="shared" si="15"/>
        <v>31955.999999999964</v>
      </c>
      <c r="Q28" s="58">
        <f t="shared" si="16"/>
        <v>641.33333333333337</v>
      </c>
      <c r="R28" s="57">
        <f ca="1">(R27-S27-T27)*(1+'Retirement Planning'!$J$23/12)</f>
        <v>185798.79281135835</v>
      </c>
      <c r="S28" s="58">
        <f t="shared" ca="1" si="17"/>
        <v>358.33333333333337</v>
      </c>
      <c r="T28" s="273">
        <f t="shared" ca="1" si="3"/>
        <v>0</v>
      </c>
      <c r="U28" s="57">
        <f ca="1">(U27-V27)*(1+'Retirement Planning'!$J$23/12)</f>
        <v>173175.75654757489</v>
      </c>
      <c r="V28" s="24">
        <f ca="1">IF(AND($B$10&lt;55,B28&lt;59.5),MIN(U28,MAX(0,(Y28+AA28+AJ28-G28)*'Retirement Planning'!$J$45)),IF(B28&lt;59.5,(MIN(U28,MAX(0,((Y28+AA28+AJ28)-G28-M28)*'Retirement Planning'!$J$45))),MIN(U28,MAX(0,(Y28+AA28+AJ28-G28-M28-K28-X28)*'Retirement Planning'!$J$45))))</f>
        <v>550.46545098971205</v>
      </c>
      <c r="W28" s="7">
        <f t="shared" ca="1" si="4"/>
        <v>1594742.9470319971</v>
      </c>
      <c r="X28" s="7">
        <f>(IF(B28&gt;'Retirement Planning'!$J$34,IF('Retirement Planning'!$J$34=70,'Retirement Planning'!$J$37/12,IF('Retirement Planning'!$J$34=67,'Retirement Planning'!$J$36/12,'Retirement Planning'!$J$35/12)),0))*'Retirement Planning'!$J$38</f>
        <v>0</v>
      </c>
      <c r="Y28" s="7">
        <f ca="1">'Retirement Planning'!$F$35*((1+'Retirement Planning'!$J$24)^(YEAR('Projected Retirement Drawdown'!C28)-YEAR(TODAY())))</f>
        <v>5373.2317046877815</v>
      </c>
      <c r="Z28" s="7">
        <f ca="1">G28+M28+O28+0.85*X28+V28*'Retirement Planning'!$J$46+T28</f>
        <v>5404.3236788414451</v>
      </c>
      <c r="AA28" s="7">
        <f>IF(MONTH(C28)=1,(((MIN(MAX(0,((SUM(Z16:Z27)-'Retirement Planning'!$I$53-'Retirement Planning'!$I$54)-'Retirement Planning'!$J$51)*'Retirement Planning'!$I$52))))+(MIN(MAX(0,((SUM(Z16:Z27)-'Retirement Planning'!$I$53-'Retirement Planning'!$I$54)-'Retirement Planning'!$J$50)*'Retirement Planning'!$I$51),('Retirement Planning'!$J$51-'Retirement Planning'!$J$50)*'Retirement Planning'!$I$51))+(MIN(MAX(0,((SUM(Z16:Z27)-'Retirement Planning'!$I$53-'Retirement Planning'!$I$54)-'Retirement Planning'!$J$49)*'Retirement Planning'!$I$50),('Retirement Planning'!$J$50-'Retirement Planning'!$J$49)*'Retirement Planning'!$I$50)+MIN(MAX(0,((SUM(Z16:Z27)-'Retirement Planning'!$I$53-'Retirement Planning'!$I$54)-'Retirement Planning'!$J$48)*'Retirement Planning'!$I$49),('Retirement Planning'!$J$49-'Retirement Planning'!$J$48)*'Retirement Planning'!$I$49)+MIN(((SUM(Z16:Z27)-'Retirement Planning'!$I$53-'Retirement Planning'!$I$54))*'Retirement Planning'!$I$48,('Retirement Planning'!$J$48)*'Retirement Planning'!$I$48))+(IF((SUM(Z16:Z27)-'Retirement Planning'!$I$54-'Retirement Planning'!$I$61)&gt;'Retirement Planning'!$J$59,(SUM(Z16:Z27)-'Retirement Planning'!$I$54-'Retirement Planning'!$I$61-'Retirement Planning'!$J$59)*'Retirement Planning'!$I$60+'Retirement Planning'!$K$59,IF((SUM(Z16:Z27)-'Retirement Planning'!$I$54-'Retirement Planning'!$I$61)&gt;'Retirement Planning'!$J$58,(SUM(Z16:Z27)-'Retirement Planning'!$I$54-'Retirement Planning'!$I$61-'Retirement Planning'!$J$58)*'Retirement Planning'!$I$59+'Retirement Planning'!$K$58,IF((SUM(Z16:Z27)-'Retirement Planning'!$I$54-'Retirement Planning'!$I$61)&gt;'Retirement Planning'!$J$57,(SUM(Z16:Z27)-'Retirement Planning'!$I$54-'Retirement Planning'!$I$61-'Retirement Planning'!$J$57)*'Retirement Planning'!$I$58+'Retirement Planning'!$K$57,IF((SUM(Z16:Z27)-'Retirement Planning'!$I$54-'Retirement Planning'!$I$61)&gt;'Retirement Planning'!$J$56,(SUM(Z16:Z27)-'Retirement Planning'!$I$54-'Retirement Planning'!$I$61-'Retirement Planning'!$J$56)*'Retirement Planning'!$I$57+'Retirement Planning'!$K$56,(SUM(Z16:Z27)-'Retirement Planning'!$I$54-'Retirement Planning'!$I$61)*'Retirement Planning'!$I$56))))))/12,AA27)</f>
        <v>925</v>
      </c>
      <c r="AB28" s="104">
        <f t="shared" ca="1" si="5"/>
        <v>0.17115925228932574</v>
      </c>
      <c r="AC28" s="7">
        <f>IF(B28&lt;65,'Retirement Planning'!$J$28,0)</f>
        <v>583</v>
      </c>
      <c r="AD28" s="7">
        <f>IF(B28&lt;65,'Retirement Planning'!$J$29/12,0)</f>
        <v>291.66666666666669</v>
      </c>
      <c r="AE28" s="22">
        <f>'Retirement Planning'!$J$31/12</f>
        <v>58.333333333333336</v>
      </c>
      <c r="AF28" s="22">
        <f>'Retirement Planning'!$J$32/12</f>
        <v>66.666666666666671</v>
      </c>
      <c r="AG28" s="7">
        <f>IF($B28&gt;64.9,'Retirement Planning'!$J$39/12,0)</f>
        <v>0</v>
      </c>
      <c r="AH28" s="7">
        <f>IF($B28&gt;64.9,'Retirement Planning'!$J$40/12,0)</f>
        <v>0</v>
      </c>
      <c r="AI28" s="7">
        <f>IF($B28&gt;64.9,'Retirement Planning'!$J$41/12,0)</f>
        <v>0</v>
      </c>
      <c r="AJ28" s="7">
        <f t="shared" ca="1" si="6"/>
        <v>0</v>
      </c>
      <c r="AK28" s="3" t="str">
        <f t="shared" ca="1" si="7"/>
        <v>N/A</v>
      </c>
      <c r="AL28" s="6" t="str">
        <f t="shared" ca="1" si="8"/>
        <v>N/A</v>
      </c>
      <c r="AM28" s="7">
        <f t="shared" ca="1" si="9"/>
        <v>6.8212102632969618E-13</v>
      </c>
      <c r="AN28" s="7">
        <f t="shared" ca="1" si="10"/>
        <v>7297.8983713544485</v>
      </c>
      <c r="AO28" s="7">
        <f t="shared" si="11"/>
        <v>999.66666666666674</v>
      </c>
    </row>
    <row r="29" spans="1:41" x14ac:dyDescent="0.2">
      <c r="A29">
        <f t="shared" si="12"/>
        <v>0</v>
      </c>
      <c r="B29" s="5">
        <f t="shared" si="13"/>
        <v>57.9</v>
      </c>
      <c r="C29" s="56">
        <f t="shared" si="14"/>
        <v>46997</v>
      </c>
      <c r="D29" s="57">
        <f ca="1">IF(AND(B28&lt;59.5,OR(B29&gt;59.5,B29=59.5)),(D28-E28+J28-K28)*(1+'Retirement Planning'!$J$23/12),(D28-E28)*(1+'Retirement Planning'!$J$23/12))</f>
        <v>171440.359333792</v>
      </c>
      <c r="E29" s="58">
        <f t="shared" ca="1" si="0"/>
        <v>646.19857290096661</v>
      </c>
      <c r="F29" s="57">
        <f>IF(AND(OR(B29&gt;59.5,B29=59.5),B28&lt;59.5),(F28-G28+L28-M28+N28-O28)*(1+'Retirement Planning'!$J$23/12),(F28-G28)*(1+'Retirement Planning'!$J$23/12))</f>
        <v>13005.216919369836</v>
      </c>
      <c r="G29" s="58">
        <f>IF(AND($B$10&lt;55,B29&lt;59.5),'Retirement Planning'!$J$25,IF(OR(B29&gt;59.5,B29=59.5),MAX(0,MIN(F29,IF(D29&lt;2500,((Y29+AJ29+AA29))-X29,((Y29+AJ29+AA29)*'Retirement Planning'!$J$44)-X29))),0))</f>
        <v>0</v>
      </c>
      <c r="H29" s="255">
        <f>IF(MONTH(C29)=1,IF(B29&gt;69.5,F29/(INDEX('Retirement Planning'!D$1:D$264,(160+INT(B29))))/12,0),IF(F29=0,0,H28))</f>
        <v>0</v>
      </c>
      <c r="I29" s="262">
        <f t="shared" si="1"/>
        <v>0</v>
      </c>
      <c r="J29" s="254">
        <f>IF(AND(B28&lt;59.5,OR(B29=59.5,B29&gt;59.5)),0,(J28-K28)*(1+'Retirement Planning'!$J$23/12))</f>
        <v>35980.126444789326</v>
      </c>
      <c r="K29" s="58">
        <f t="shared" si="2"/>
        <v>0</v>
      </c>
      <c r="L29" s="57">
        <f ca="1">IF(AND(OR(B29&gt;59.5,B29=59.5),B28&lt;59.5),0,(L28-M28)*(1+'Retirement Planning'!$J$23/12))</f>
        <v>986125.21986063523</v>
      </c>
      <c r="M29" s="59">
        <f ca="1">IF(AND($B$10&lt;55,B29&lt;59.5),0,IF(B29&lt;59.5,MAX(0,MIN((($Y29+$AJ29+AA29)*'Retirement Planning'!$J$44)-$G29-$X29,L29)),0))</f>
        <v>5101.5676807971031</v>
      </c>
      <c r="N29" s="57">
        <f>(N28-O28)*(1+'Retirement Planning'!$J$23/12)</f>
        <v>0</v>
      </c>
      <c r="O29" s="59">
        <f>IF(B29&gt;59.5,MAX(0,MIN((AA29+$Y29+$AJ29)*(IF(D29&lt;(MIN(E17:E28)+1),1,'Retirement Planning'!$J$44))-M29-$G29-$X29-(IF(D29&lt;(MIN(E17:E28)+1),D29,0)),N29)),0)</f>
        <v>0</v>
      </c>
      <c r="P29" s="57">
        <f t="shared" si="15"/>
        <v>31314.666666666631</v>
      </c>
      <c r="Q29" s="58">
        <f t="shared" si="16"/>
        <v>641.33333333333337</v>
      </c>
      <c r="R29" s="57">
        <f ca="1">(R28-S28-T28)*(1+'Retirement Planning'!$J$23/12)</f>
        <v>186753.99606599435</v>
      </c>
      <c r="S29" s="58">
        <f t="shared" ca="1" si="17"/>
        <v>358.33333333333337</v>
      </c>
      <c r="T29" s="273">
        <f t="shared" ca="1" si="3"/>
        <v>0</v>
      </c>
      <c r="U29" s="57">
        <f ca="1">(U28-V28)*(1+'Retirement Planning'!$J$23/12)</f>
        <v>173848.05357518597</v>
      </c>
      <c r="V29" s="24">
        <f ca="1">IF(AND($B$10&lt;55,B29&lt;59.5),MIN(U29,MAX(0,(Y29+AA29+AJ29-G29)*'Retirement Planning'!$J$45)),IF(B29&lt;59.5,(MIN(U29,MAX(0,((Y29+AA29+AJ29)-G29-M29)*'Retirement Planning'!$J$45))),MIN(U29,MAX(0,(Y29+AA29+AJ29-G29-M29-K29-X29)*'Retirement Planning'!$J$45))))</f>
        <v>550.46545098971205</v>
      </c>
      <c r="W29" s="7">
        <f t="shared" ca="1" si="4"/>
        <v>1598467.6388664334</v>
      </c>
      <c r="X29" s="7">
        <f>(IF(B29&gt;'Retirement Planning'!$J$34,IF('Retirement Planning'!$J$34=70,'Retirement Planning'!$J$37/12,IF('Retirement Planning'!$J$34=67,'Retirement Planning'!$J$36/12,'Retirement Planning'!$J$35/12)),0))*'Retirement Planning'!$J$38</f>
        <v>0</v>
      </c>
      <c r="Y29" s="7">
        <f ca="1">'Retirement Planning'!$F$35*((1+'Retirement Planning'!$J$24)^(YEAR('Projected Retirement Drawdown'!C29)-YEAR(TODAY())))</f>
        <v>5373.2317046877815</v>
      </c>
      <c r="Z29" s="7">
        <f ca="1">G29+M29+O29+0.85*X29+V29*'Retirement Planning'!$J$46+T29</f>
        <v>5404.3236788414451</v>
      </c>
      <c r="AA29" s="7">
        <f>IF(MONTH(C29)=1,(((MIN(MAX(0,((SUM(Z17:Z28)-'Retirement Planning'!$I$53-'Retirement Planning'!$I$54)-'Retirement Planning'!$J$51)*'Retirement Planning'!$I$52))))+(MIN(MAX(0,((SUM(Z17:Z28)-'Retirement Planning'!$I$53-'Retirement Planning'!$I$54)-'Retirement Planning'!$J$50)*'Retirement Planning'!$I$51),('Retirement Planning'!$J$51-'Retirement Planning'!$J$50)*'Retirement Planning'!$I$51))+(MIN(MAX(0,((SUM(Z17:Z28)-'Retirement Planning'!$I$53-'Retirement Planning'!$I$54)-'Retirement Planning'!$J$49)*'Retirement Planning'!$I$50),('Retirement Planning'!$J$50-'Retirement Planning'!$J$49)*'Retirement Planning'!$I$50)+MIN(MAX(0,((SUM(Z17:Z28)-'Retirement Planning'!$I$53-'Retirement Planning'!$I$54)-'Retirement Planning'!$J$48)*'Retirement Planning'!$I$49),('Retirement Planning'!$J$49-'Retirement Planning'!$J$48)*'Retirement Planning'!$I$49)+MIN(((SUM(Z17:Z28)-'Retirement Planning'!$I$53-'Retirement Planning'!$I$54))*'Retirement Planning'!$I$48,('Retirement Planning'!$J$48)*'Retirement Planning'!$I$48))+(IF((SUM(Z17:Z28)-'Retirement Planning'!$I$54-'Retirement Planning'!$I$61)&gt;'Retirement Planning'!$J$59,(SUM(Z17:Z28)-'Retirement Planning'!$I$54-'Retirement Planning'!$I$61-'Retirement Planning'!$J$59)*'Retirement Planning'!$I$60+'Retirement Planning'!$K$59,IF((SUM(Z17:Z28)-'Retirement Planning'!$I$54-'Retirement Planning'!$I$61)&gt;'Retirement Planning'!$J$58,(SUM(Z17:Z28)-'Retirement Planning'!$I$54-'Retirement Planning'!$I$61-'Retirement Planning'!$J$58)*'Retirement Planning'!$I$59+'Retirement Planning'!$K$58,IF((SUM(Z17:Z28)-'Retirement Planning'!$I$54-'Retirement Planning'!$I$61)&gt;'Retirement Planning'!$J$57,(SUM(Z17:Z28)-'Retirement Planning'!$I$54-'Retirement Planning'!$I$61-'Retirement Planning'!$J$57)*'Retirement Planning'!$I$58+'Retirement Planning'!$K$57,IF((SUM(Z17:Z28)-'Retirement Planning'!$I$54-'Retirement Planning'!$I$61)&gt;'Retirement Planning'!$J$56,(SUM(Z17:Z28)-'Retirement Planning'!$I$54-'Retirement Planning'!$I$61-'Retirement Planning'!$J$56)*'Retirement Planning'!$I$57+'Retirement Planning'!$K$56,(SUM(Z17:Z28)-'Retirement Planning'!$I$54-'Retirement Planning'!$I$61)*'Retirement Planning'!$I$56))))))/12,AA28)</f>
        <v>925</v>
      </c>
      <c r="AB29" s="104">
        <f t="shared" ca="1" si="5"/>
        <v>0.17115925228932574</v>
      </c>
      <c r="AC29" s="7">
        <f>IF(B29&lt;65,'Retirement Planning'!$J$28,0)</f>
        <v>583</v>
      </c>
      <c r="AD29" s="7">
        <f>IF(B29&lt;65,'Retirement Planning'!$J$29/12,0)</f>
        <v>291.66666666666669</v>
      </c>
      <c r="AE29" s="22">
        <f>'Retirement Planning'!$J$31/12</f>
        <v>58.333333333333336</v>
      </c>
      <c r="AF29" s="22">
        <f>'Retirement Planning'!$J$32/12</f>
        <v>66.666666666666671</v>
      </c>
      <c r="AG29" s="7">
        <f>IF($B29&gt;64.9,'Retirement Planning'!$J$39/12,0)</f>
        <v>0</v>
      </c>
      <c r="AH29" s="7">
        <f>IF($B29&gt;64.9,'Retirement Planning'!$J$40/12,0)</f>
        <v>0</v>
      </c>
      <c r="AI29" s="7">
        <f>IF($B29&gt;64.9,'Retirement Planning'!$J$41/12,0)</f>
        <v>0</v>
      </c>
      <c r="AJ29" s="7">
        <f t="shared" ca="1" si="6"/>
        <v>0</v>
      </c>
      <c r="AK29" s="3" t="str">
        <f t="shared" ca="1" si="7"/>
        <v>N/A</v>
      </c>
      <c r="AL29" s="6" t="str">
        <f t="shared" ca="1" si="8"/>
        <v>N/A</v>
      </c>
      <c r="AM29" s="7">
        <f t="shared" ca="1" si="9"/>
        <v>6.8212102632969618E-13</v>
      </c>
      <c r="AN29" s="7">
        <f t="shared" ca="1" si="10"/>
        <v>7297.8983713544485</v>
      </c>
      <c r="AO29" s="7">
        <f t="shared" si="11"/>
        <v>999.66666666666674</v>
      </c>
    </row>
    <row r="30" spans="1:41" x14ac:dyDescent="0.2">
      <c r="A30">
        <f t="shared" si="12"/>
        <v>0</v>
      </c>
      <c r="B30" s="5">
        <f t="shared" si="13"/>
        <v>58</v>
      </c>
      <c r="C30" s="56">
        <f t="shared" si="14"/>
        <v>47027</v>
      </c>
      <c r="D30" s="57">
        <f ca="1">IF(AND(B29&lt;59.5,OR(B30&gt;59.5,B30=59.5)),(D29-E29+J29-K29)*(1+'Retirement Planning'!$J$23/12),(D29-E29)*(1+'Retirement Planning'!$J$23/12))</f>
        <v>172003.95273294736</v>
      </c>
      <c r="E30" s="58">
        <f t="shared" ca="1" si="0"/>
        <v>646.19857290096661</v>
      </c>
      <c r="F30" s="57">
        <f>IF(AND(OR(B30&gt;59.5,B30=59.5),B29&lt;59.5),(F29-G29+L29-M29+N29-O29)*(1+'Retirement Planning'!$J$23/12),(F29-G29)*(1+'Retirement Planning'!$J$23/12))</f>
        <v>13097.337205882039</v>
      </c>
      <c r="G30" s="58">
        <f>IF(AND($B$10&lt;55,B30&lt;59.5),'Retirement Planning'!$J$25,IF(OR(B30&gt;59.5,B30=59.5),MAX(0,MIN(F30,IF(D30&lt;2500,((Y30+AJ30+AA30))-X30,((Y30+AJ30+AA30)*'Retirement Planning'!$J$44)-X30))),0))</f>
        <v>0</v>
      </c>
      <c r="H30" s="255">
        <f>IF(MONTH(C30)=1,IF(B30&gt;69.5,F30/(INDEX('Retirement Planning'!D$1:D$264,(160+INT(B30))))/12,0),IF(F30=0,0,H29))</f>
        <v>0</v>
      </c>
      <c r="I30" s="262">
        <f t="shared" si="1"/>
        <v>0</v>
      </c>
      <c r="J30" s="254">
        <f>IF(AND(B29&lt;59.5,OR(B30=59.5,B30&gt;59.5)),0,(J29-K29)*(1+'Retirement Planning'!$J$23/12))</f>
        <v>36234.985673773248</v>
      </c>
      <c r="K30" s="58">
        <f t="shared" si="2"/>
        <v>0</v>
      </c>
      <c r="L30" s="57">
        <f ca="1">IF(AND(OR(B30&gt;59.5,B30=59.5),B29&lt;59.5),0,(L29-M29)*(1+'Retirement Planning'!$J$23/12))</f>
        <v>987972.56971611199</v>
      </c>
      <c r="M30" s="59">
        <f ca="1">IF(AND($B$10&lt;55,B30&lt;59.5),0,IF(B30&lt;59.5,MAX(0,MIN((($Y30+$AJ30+AA30)*'Retirement Planning'!$J$44)-$G30-$X30,L30)),0))</f>
        <v>5101.5676807971031</v>
      </c>
      <c r="N30" s="57">
        <f>(N29-O29)*(1+'Retirement Planning'!$J$23/12)</f>
        <v>0</v>
      </c>
      <c r="O30" s="59">
        <f>IF(B30&gt;59.5,MAX(0,MIN((AA30+$Y30+$AJ30)*(IF(D30&lt;(MIN(E18:E29)+1),1,'Retirement Planning'!$J$44))-M30-$G30-$X30-(IF(D30&lt;(MIN(E18:E29)+1),D30,0)),N30)),0)</f>
        <v>0</v>
      </c>
      <c r="P30" s="57">
        <f t="shared" si="15"/>
        <v>30673.333333333299</v>
      </c>
      <c r="Q30" s="58">
        <f t="shared" si="16"/>
        <v>641.33333333333337</v>
      </c>
      <c r="R30" s="57">
        <f ca="1">(R29-S29-T29)*(1+'Retirement Planning'!$J$23/12)</f>
        <v>187715.96534368402</v>
      </c>
      <c r="S30" s="58">
        <f t="shared" ca="1" si="17"/>
        <v>358.33333333333337</v>
      </c>
      <c r="T30" s="273">
        <f t="shared" ca="1" si="3"/>
        <v>0</v>
      </c>
      <c r="U30" s="57">
        <f ca="1">(U29-V29)*(1+'Retirement Planning'!$J$23/12)</f>
        <v>174525.11270674263</v>
      </c>
      <c r="V30" s="24">
        <f ca="1">IF(AND($B$10&lt;55,B30&lt;59.5),MIN(U30,MAX(0,(Y30+AA30+AJ30-G30)*'Retirement Planning'!$J$45)),IF(B30&lt;59.5,(MIN(U30,MAX(0,((Y30+AA30+AJ30)-G30-M30)*'Retirement Planning'!$J$45))),MIN(U30,MAX(0,(Y30+AA30+AJ30-G30-M30-K30-X30)*'Retirement Planning'!$J$45))))</f>
        <v>550.46545098971205</v>
      </c>
      <c r="W30" s="7">
        <f t="shared" ca="1" si="4"/>
        <v>1602223.2567124746</v>
      </c>
      <c r="X30" s="7">
        <f>(IF(B30&gt;'Retirement Planning'!$J$34,IF('Retirement Planning'!$J$34=70,'Retirement Planning'!$J$37/12,IF('Retirement Planning'!$J$34=67,'Retirement Planning'!$J$36/12,'Retirement Planning'!$J$35/12)),0))*'Retirement Planning'!$J$38</f>
        <v>0</v>
      </c>
      <c r="Y30" s="7">
        <f ca="1">'Retirement Planning'!$F$35*((1+'Retirement Planning'!$J$24)^(YEAR('Projected Retirement Drawdown'!C30)-YEAR(TODAY())))</f>
        <v>5373.2317046877815</v>
      </c>
      <c r="Z30" s="7">
        <f ca="1">G30+M30+O30+0.85*X30+V30*'Retirement Planning'!$J$46+T30</f>
        <v>5404.3236788414451</v>
      </c>
      <c r="AA30" s="7">
        <f>IF(MONTH(C30)=1,(((MIN(MAX(0,((SUM(Z18:Z29)-'Retirement Planning'!$I$53-'Retirement Planning'!$I$54)-'Retirement Planning'!$J$51)*'Retirement Planning'!$I$52))))+(MIN(MAX(0,((SUM(Z18:Z29)-'Retirement Planning'!$I$53-'Retirement Planning'!$I$54)-'Retirement Planning'!$J$50)*'Retirement Planning'!$I$51),('Retirement Planning'!$J$51-'Retirement Planning'!$J$50)*'Retirement Planning'!$I$51))+(MIN(MAX(0,((SUM(Z18:Z29)-'Retirement Planning'!$I$53-'Retirement Planning'!$I$54)-'Retirement Planning'!$J$49)*'Retirement Planning'!$I$50),('Retirement Planning'!$J$50-'Retirement Planning'!$J$49)*'Retirement Planning'!$I$50)+MIN(MAX(0,((SUM(Z18:Z29)-'Retirement Planning'!$I$53-'Retirement Planning'!$I$54)-'Retirement Planning'!$J$48)*'Retirement Planning'!$I$49),('Retirement Planning'!$J$49-'Retirement Planning'!$J$48)*'Retirement Planning'!$I$49)+MIN(((SUM(Z18:Z29)-'Retirement Planning'!$I$53-'Retirement Planning'!$I$54))*'Retirement Planning'!$I$48,('Retirement Planning'!$J$48)*'Retirement Planning'!$I$48))+(IF((SUM(Z18:Z29)-'Retirement Planning'!$I$54-'Retirement Planning'!$I$61)&gt;'Retirement Planning'!$J$59,(SUM(Z18:Z29)-'Retirement Planning'!$I$54-'Retirement Planning'!$I$61-'Retirement Planning'!$J$59)*'Retirement Planning'!$I$60+'Retirement Planning'!$K$59,IF((SUM(Z18:Z29)-'Retirement Planning'!$I$54-'Retirement Planning'!$I$61)&gt;'Retirement Planning'!$J$58,(SUM(Z18:Z29)-'Retirement Planning'!$I$54-'Retirement Planning'!$I$61-'Retirement Planning'!$J$58)*'Retirement Planning'!$I$59+'Retirement Planning'!$K$58,IF((SUM(Z18:Z29)-'Retirement Planning'!$I$54-'Retirement Planning'!$I$61)&gt;'Retirement Planning'!$J$57,(SUM(Z18:Z29)-'Retirement Planning'!$I$54-'Retirement Planning'!$I$61-'Retirement Planning'!$J$57)*'Retirement Planning'!$I$58+'Retirement Planning'!$K$57,IF((SUM(Z18:Z29)-'Retirement Planning'!$I$54-'Retirement Planning'!$I$61)&gt;'Retirement Planning'!$J$56,(SUM(Z18:Z29)-'Retirement Planning'!$I$54-'Retirement Planning'!$I$61-'Retirement Planning'!$J$56)*'Retirement Planning'!$I$57+'Retirement Planning'!$K$56,(SUM(Z18:Z29)-'Retirement Planning'!$I$54-'Retirement Planning'!$I$61)*'Retirement Planning'!$I$56))))))/12,AA29)</f>
        <v>925</v>
      </c>
      <c r="AB30" s="104">
        <f t="shared" ca="1" si="5"/>
        <v>0.17115925228932574</v>
      </c>
      <c r="AC30" s="7">
        <f>IF(B30&lt;65,'Retirement Planning'!$J$28,0)</f>
        <v>583</v>
      </c>
      <c r="AD30" s="7">
        <f>IF(B30&lt;65,'Retirement Planning'!$J$29/12,0)</f>
        <v>291.66666666666669</v>
      </c>
      <c r="AE30" s="22">
        <f>'Retirement Planning'!$J$31/12</f>
        <v>58.333333333333336</v>
      </c>
      <c r="AF30" s="22">
        <f>'Retirement Planning'!$J$32/12</f>
        <v>66.666666666666671</v>
      </c>
      <c r="AG30" s="7">
        <f>IF($B30&gt;64.9,'Retirement Planning'!$J$39/12,0)</f>
        <v>0</v>
      </c>
      <c r="AH30" s="7">
        <f>IF($B30&gt;64.9,'Retirement Planning'!$J$40/12,0)</f>
        <v>0</v>
      </c>
      <c r="AI30" s="7">
        <f>IF($B30&gt;64.9,'Retirement Planning'!$J$41/12,0)</f>
        <v>0</v>
      </c>
      <c r="AJ30" s="7">
        <f t="shared" ca="1" si="6"/>
        <v>0</v>
      </c>
      <c r="AK30" s="3" t="str">
        <f t="shared" ca="1" si="7"/>
        <v>N/A</v>
      </c>
      <c r="AL30" s="6" t="str">
        <f t="shared" ca="1" si="8"/>
        <v>N/A</v>
      </c>
      <c r="AM30" s="7">
        <f t="shared" ca="1" si="9"/>
        <v>6.8212102632969618E-13</v>
      </c>
      <c r="AN30" s="7">
        <f t="shared" ca="1" si="10"/>
        <v>7297.8983713544485</v>
      </c>
      <c r="AO30" s="7">
        <f t="shared" si="11"/>
        <v>999.66666666666674</v>
      </c>
    </row>
    <row r="31" spans="1:41" x14ac:dyDescent="0.2">
      <c r="A31">
        <f t="shared" si="12"/>
        <v>0</v>
      </c>
      <c r="B31" s="5">
        <f t="shared" si="13"/>
        <v>58</v>
      </c>
      <c r="C31" s="56">
        <f t="shared" si="14"/>
        <v>47058</v>
      </c>
      <c r="D31" s="57">
        <f ca="1">IF(AND(B30&lt;59.5,OR(B31&gt;59.5,B31=59.5)),(D30-E30+J30-K30)*(1+'Retirement Planning'!$J$23/12),(D30-E30)*(1+'Retirement Planning'!$J$23/12))</f>
        <v>172571.53825201339</v>
      </c>
      <c r="E31" s="58">
        <f t="shared" ca="1" si="0"/>
        <v>646.19857290096661</v>
      </c>
      <c r="F31" s="57">
        <f>IF(AND(OR(B31&gt;59.5,B31=59.5),B30&lt;59.5),(F30-G30+L30-M30+N30-O30)*(1+'Retirement Planning'!$J$23/12),(F30-G30)*(1+'Retirement Planning'!$J$23/12))</f>
        <v>13190.11001109037</v>
      </c>
      <c r="G31" s="58">
        <f>IF(AND($B$10&lt;55,B31&lt;59.5),'Retirement Planning'!$J$25,IF(OR(B31&gt;59.5,B31=59.5),MAX(0,MIN(F31,IF(D31&lt;2500,((Y31+AJ31+AA31))-X31,((Y31+AJ31+AA31)*'Retirement Planning'!$J$44)-X31))),0))</f>
        <v>0</v>
      </c>
      <c r="H31" s="255">
        <f>IF(MONTH(C31)=1,IF(B31&gt;69.5,F31/(INDEX('Retirement Planning'!D$1:D$264,(160+INT(B31))))/12,0),IF(F31=0,0,H30))</f>
        <v>0</v>
      </c>
      <c r="I31" s="262">
        <f t="shared" si="1"/>
        <v>0</v>
      </c>
      <c r="J31" s="254">
        <f>IF(AND(B30&lt;59.5,OR(B31=59.5,B31&gt;59.5)),0,(J30-K30)*(1+'Retirement Planning'!$J$23/12))</f>
        <v>36491.65015562914</v>
      </c>
      <c r="K31" s="58">
        <f t="shared" si="2"/>
        <v>0</v>
      </c>
      <c r="L31" s="57">
        <f ca="1">IF(AND(OR(B31&gt;59.5,B31=59.5),B30&lt;59.5),0,(L30-M30)*(1+'Retirement Planning'!$J$23/12))</f>
        <v>989833.00496639835</v>
      </c>
      <c r="M31" s="59">
        <f ca="1">IF(AND($B$10&lt;55,B31&lt;59.5),0,IF(B31&lt;59.5,MAX(0,MIN((($Y31+$AJ31+AA31)*'Retirement Planning'!$J$44)-$G31-$X31,L31)),0))</f>
        <v>5101.5676807971031</v>
      </c>
      <c r="N31" s="57">
        <f>(N30-O30)*(1+'Retirement Planning'!$J$23/12)</f>
        <v>0</v>
      </c>
      <c r="O31" s="59">
        <f>IF(B31&gt;59.5,MAX(0,MIN((AA31+$Y31+$AJ31)*(IF(D31&lt;(MIN(E19:E30)+1),1,'Retirement Planning'!$J$44))-M31-$G31-$X31-(IF(D31&lt;(MIN(E19:E30)+1),D31,0)),N31)),0)</f>
        <v>0</v>
      </c>
      <c r="P31" s="57">
        <f t="shared" si="15"/>
        <v>30031.999999999967</v>
      </c>
      <c r="Q31" s="58">
        <f t="shared" si="16"/>
        <v>641.33333333333337</v>
      </c>
      <c r="R31" s="57">
        <f ca="1">(R30-S30-T30)*(1+'Retirement Planning'!$J$23/12)</f>
        <v>188684.74857042398</v>
      </c>
      <c r="S31" s="58">
        <f t="shared" ca="1" si="17"/>
        <v>358.33333333333337</v>
      </c>
      <c r="T31" s="273">
        <f t="shared" ca="1" si="3"/>
        <v>0</v>
      </c>
      <c r="U31" s="57">
        <f ca="1">(U30-V30)*(1+'Retirement Planning'!$J$23/12)</f>
        <v>175206.96767381448</v>
      </c>
      <c r="V31" s="24">
        <f ca="1">IF(AND($B$10&lt;55,B31&lt;59.5),MIN(U31,MAX(0,(Y31+AA31+AJ31-G31)*'Retirement Planning'!$J$45)),IF(B31&lt;59.5,(MIN(U31,MAX(0,((Y31+AA31+AJ31)-G31-M31)*'Retirement Planning'!$J$45))),MIN(U31,MAX(0,(Y31+AA31+AJ31-G31-M31-K31-X31)*'Retirement Planning'!$J$45))))</f>
        <v>550.46545098971205</v>
      </c>
      <c r="W31" s="7">
        <f t="shared" ca="1" si="4"/>
        <v>1606010.0196293697</v>
      </c>
      <c r="X31" s="7">
        <f>(IF(B31&gt;'Retirement Planning'!$J$34,IF('Retirement Planning'!$J$34=70,'Retirement Planning'!$J$37/12,IF('Retirement Planning'!$J$34=67,'Retirement Planning'!$J$36/12,'Retirement Planning'!$J$35/12)),0))*'Retirement Planning'!$J$38</f>
        <v>0</v>
      </c>
      <c r="Y31" s="7">
        <f ca="1">'Retirement Planning'!$F$35*((1+'Retirement Planning'!$J$24)^(YEAR('Projected Retirement Drawdown'!C31)-YEAR(TODAY())))</f>
        <v>5373.2317046877815</v>
      </c>
      <c r="Z31" s="7">
        <f ca="1">G31+M31+O31+0.85*X31+V31*'Retirement Planning'!$J$46+T31</f>
        <v>5404.3236788414451</v>
      </c>
      <c r="AA31" s="7">
        <f>IF(MONTH(C31)=1,(((MIN(MAX(0,((SUM(Z19:Z30)-'Retirement Planning'!$I$53-'Retirement Planning'!$I$54)-'Retirement Planning'!$J$51)*'Retirement Planning'!$I$52))))+(MIN(MAX(0,((SUM(Z19:Z30)-'Retirement Planning'!$I$53-'Retirement Planning'!$I$54)-'Retirement Planning'!$J$50)*'Retirement Planning'!$I$51),('Retirement Planning'!$J$51-'Retirement Planning'!$J$50)*'Retirement Planning'!$I$51))+(MIN(MAX(0,((SUM(Z19:Z30)-'Retirement Planning'!$I$53-'Retirement Planning'!$I$54)-'Retirement Planning'!$J$49)*'Retirement Planning'!$I$50),('Retirement Planning'!$J$50-'Retirement Planning'!$J$49)*'Retirement Planning'!$I$50)+MIN(MAX(0,((SUM(Z19:Z30)-'Retirement Planning'!$I$53-'Retirement Planning'!$I$54)-'Retirement Planning'!$J$48)*'Retirement Planning'!$I$49),('Retirement Planning'!$J$49-'Retirement Planning'!$J$48)*'Retirement Planning'!$I$49)+MIN(((SUM(Z19:Z30)-'Retirement Planning'!$I$53-'Retirement Planning'!$I$54))*'Retirement Planning'!$I$48,('Retirement Planning'!$J$48)*'Retirement Planning'!$I$48))+(IF((SUM(Z19:Z30)-'Retirement Planning'!$I$54-'Retirement Planning'!$I$61)&gt;'Retirement Planning'!$J$59,(SUM(Z19:Z30)-'Retirement Planning'!$I$54-'Retirement Planning'!$I$61-'Retirement Planning'!$J$59)*'Retirement Planning'!$I$60+'Retirement Planning'!$K$59,IF((SUM(Z19:Z30)-'Retirement Planning'!$I$54-'Retirement Planning'!$I$61)&gt;'Retirement Planning'!$J$58,(SUM(Z19:Z30)-'Retirement Planning'!$I$54-'Retirement Planning'!$I$61-'Retirement Planning'!$J$58)*'Retirement Planning'!$I$59+'Retirement Planning'!$K$58,IF((SUM(Z19:Z30)-'Retirement Planning'!$I$54-'Retirement Planning'!$I$61)&gt;'Retirement Planning'!$J$57,(SUM(Z19:Z30)-'Retirement Planning'!$I$54-'Retirement Planning'!$I$61-'Retirement Planning'!$J$57)*'Retirement Planning'!$I$58+'Retirement Planning'!$K$57,IF((SUM(Z19:Z30)-'Retirement Planning'!$I$54-'Retirement Planning'!$I$61)&gt;'Retirement Planning'!$J$56,(SUM(Z19:Z30)-'Retirement Planning'!$I$54-'Retirement Planning'!$I$61-'Retirement Planning'!$J$56)*'Retirement Planning'!$I$57+'Retirement Planning'!$K$56,(SUM(Z19:Z30)-'Retirement Planning'!$I$54-'Retirement Planning'!$I$61)*'Retirement Planning'!$I$56))))))/12,AA30)</f>
        <v>925</v>
      </c>
      <c r="AB31" s="104">
        <f t="shared" ca="1" si="5"/>
        <v>0.17115925228932574</v>
      </c>
      <c r="AC31" s="7">
        <f>IF(B31&lt;65,'Retirement Planning'!$J$28,0)</f>
        <v>583</v>
      </c>
      <c r="AD31" s="7">
        <f>IF(B31&lt;65,'Retirement Planning'!$J$29/12,0)</f>
        <v>291.66666666666669</v>
      </c>
      <c r="AE31" s="22">
        <f>'Retirement Planning'!$J$31/12</f>
        <v>58.333333333333336</v>
      </c>
      <c r="AF31" s="22">
        <f>'Retirement Planning'!$J$32/12</f>
        <v>66.666666666666671</v>
      </c>
      <c r="AG31" s="7">
        <f>IF($B31&gt;64.9,'Retirement Planning'!$J$39/12,0)</f>
        <v>0</v>
      </c>
      <c r="AH31" s="7">
        <f>IF($B31&gt;64.9,'Retirement Planning'!$J$40/12,0)</f>
        <v>0</v>
      </c>
      <c r="AI31" s="7">
        <f>IF($B31&gt;64.9,'Retirement Planning'!$J$41/12,0)</f>
        <v>0</v>
      </c>
      <c r="AJ31" s="7">
        <f t="shared" ca="1" si="6"/>
        <v>0</v>
      </c>
      <c r="AK31" s="3" t="str">
        <f t="shared" ca="1" si="7"/>
        <v>N/A</v>
      </c>
      <c r="AL31" s="6" t="str">
        <f t="shared" ca="1" si="8"/>
        <v>N/A</v>
      </c>
      <c r="AM31" s="7">
        <f t="shared" ca="1" si="9"/>
        <v>6.8212102632969618E-13</v>
      </c>
      <c r="AN31" s="7">
        <f t="shared" ca="1" si="10"/>
        <v>7297.8983713544485</v>
      </c>
      <c r="AO31" s="7">
        <f t="shared" si="11"/>
        <v>999.66666666666674</v>
      </c>
    </row>
    <row r="32" spans="1:41" x14ac:dyDescent="0.2">
      <c r="A32">
        <f t="shared" si="12"/>
        <v>0</v>
      </c>
      <c r="B32" s="5">
        <f t="shared" si="13"/>
        <v>58.1</v>
      </c>
      <c r="C32" s="56">
        <f t="shared" si="14"/>
        <v>47088</v>
      </c>
      <c r="D32" s="57">
        <f ca="1">IF(AND(B31&lt;59.5,OR(B32&gt;59.5,B32=59.5)),(D31-E31+J31-K31)*(1+'Retirement Planning'!$J$23/12),(D31-E31)*(1+'Retirement Planning'!$J$23/12))</f>
        <v>173143.14416850614</v>
      </c>
      <c r="E32" s="58">
        <f t="shared" ca="1" si="0"/>
        <v>646.19857290096661</v>
      </c>
      <c r="F32" s="57">
        <f>IF(AND(OR(B32&gt;59.5,B32=59.5),B31&lt;59.5),(F31-G31+L31-M31+N31-O31)*(1+'Retirement Planning'!$J$23/12),(F31-G31)*(1+'Retirement Planning'!$J$23/12))</f>
        <v>13283.53995700226</v>
      </c>
      <c r="G32" s="58">
        <f>IF(AND($B$10&lt;55,B32&lt;59.5),'Retirement Planning'!$J$25,IF(OR(B32&gt;59.5,B32=59.5),MAX(0,MIN(F32,IF(D32&lt;2500,((Y32+AJ32+AA32))-X32,((Y32+AJ32+AA32)*'Retirement Planning'!$J$44)-X32))),0))</f>
        <v>0</v>
      </c>
      <c r="H32" s="255">
        <f>IF(MONTH(C32)=1,IF(B32&gt;69.5,F32/(INDEX('Retirement Planning'!D$1:D$264,(160+INT(B32))))/12,0),IF(F32=0,0,H31))</f>
        <v>0</v>
      </c>
      <c r="I32" s="262">
        <f t="shared" si="1"/>
        <v>0</v>
      </c>
      <c r="J32" s="254">
        <f>IF(AND(B31&lt;59.5,OR(B32=59.5,B32&gt;59.5)),0,(J31-K31)*(1+'Retirement Planning'!$J$23/12))</f>
        <v>36750.132677564849</v>
      </c>
      <c r="K32" s="58">
        <f t="shared" si="2"/>
        <v>0</v>
      </c>
      <c r="L32" s="57">
        <f ca="1">IF(AND(OR(B32&gt;59.5,B32=59.5),B31&lt;59.5),0,(L31-M31)*(1+'Retirement Planning'!$J$23/12))</f>
        <v>991706.61829970765</v>
      </c>
      <c r="M32" s="59">
        <f ca="1">IF(AND($B$10&lt;55,B32&lt;59.5),0,IF(B32&lt;59.5,MAX(0,MIN((($Y32+$AJ32+AA32)*'Retirement Planning'!$J$44)-$G32-$X32,L32)),0))</f>
        <v>5101.5676807971031</v>
      </c>
      <c r="N32" s="57">
        <f>(N31-O31)*(1+'Retirement Planning'!$J$23/12)</f>
        <v>0</v>
      </c>
      <c r="O32" s="59">
        <f>IF(B32&gt;59.5,MAX(0,MIN((AA32+$Y32+$AJ32)*(IF(D32&lt;(MIN(E20:E31)+1),1,'Retirement Planning'!$J$44))-M32-$G32-$X32-(IF(D32&lt;(MIN(E20:E31)+1),D32,0)),N32)),0)</f>
        <v>0</v>
      </c>
      <c r="P32" s="57">
        <f t="shared" si="15"/>
        <v>29390.666666666635</v>
      </c>
      <c r="Q32" s="58">
        <f t="shared" si="16"/>
        <v>641.33333333333337</v>
      </c>
      <c r="R32" s="57">
        <f ca="1">(R31-S31-T31)*(1+'Retirement Planning'!$J$23/12)</f>
        <v>189660.3940116867</v>
      </c>
      <c r="S32" s="58">
        <f t="shared" ca="1" si="17"/>
        <v>358.33333333333337</v>
      </c>
      <c r="T32" s="273">
        <f t="shared" ca="1" si="3"/>
        <v>0</v>
      </c>
      <c r="U32" s="57">
        <f ca="1">(U31-V31)*(1+'Retirement Planning'!$J$23/12)</f>
        <v>175893.65244690308</v>
      </c>
      <c r="V32" s="24">
        <f ca="1">IF(AND($B$10&lt;55,B32&lt;59.5),MIN(U32,MAX(0,(Y32+AA32+AJ32-G32)*'Retirement Planning'!$J$45)),IF(B32&lt;59.5,(MIN(U32,MAX(0,((Y32+AA32+AJ32)-G32-M32)*'Retirement Planning'!$J$45))),MIN(U32,MAX(0,(Y32+AA32+AJ32-G32-M32-K32-X32)*'Retirement Planning'!$J$45))))</f>
        <v>550.46545098971205</v>
      </c>
      <c r="W32" s="7">
        <f t="shared" ca="1" si="4"/>
        <v>1609828.1482280374</v>
      </c>
      <c r="X32" s="7">
        <f>(IF(B32&gt;'Retirement Planning'!$J$34,IF('Retirement Planning'!$J$34=70,'Retirement Planning'!$J$37/12,IF('Retirement Planning'!$J$34=67,'Retirement Planning'!$J$36/12,'Retirement Planning'!$J$35/12)),0))*'Retirement Planning'!$J$38</f>
        <v>0</v>
      </c>
      <c r="Y32" s="7">
        <f ca="1">'Retirement Planning'!$F$35*((1+'Retirement Planning'!$J$24)^(YEAR('Projected Retirement Drawdown'!C32)-YEAR(TODAY())))</f>
        <v>5373.2317046877815</v>
      </c>
      <c r="Z32" s="7">
        <f ca="1">G32+M32+O32+0.85*X32+V32*'Retirement Planning'!$J$46+T32</f>
        <v>5404.3236788414451</v>
      </c>
      <c r="AA32" s="7">
        <f>IF(MONTH(C32)=1,(((MIN(MAX(0,((SUM(Z20:Z31)-'Retirement Planning'!$I$53-'Retirement Planning'!$I$54)-'Retirement Planning'!$J$51)*'Retirement Planning'!$I$52))))+(MIN(MAX(0,((SUM(Z20:Z31)-'Retirement Planning'!$I$53-'Retirement Planning'!$I$54)-'Retirement Planning'!$J$50)*'Retirement Planning'!$I$51),('Retirement Planning'!$J$51-'Retirement Planning'!$J$50)*'Retirement Planning'!$I$51))+(MIN(MAX(0,((SUM(Z20:Z31)-'Retirement Planning'!$I$53-'Retirement Planning'!$I$54)-'Retirement Planning'!$J$49)*'Retirement Planning'!$I$50),('Retirement Planning'!$J$50-'Retirement Planning'!$J$49)*'Retirement Planning'!$I$50)+MIN(MAX(0,((SUM(Z20:Z31)-'Retirement Planning'!$I$53-'Retirement Planning'!$I$54)-'Retirement Planning'!$J$48)*'Retirement Planning'!$I$49),('Retirement Planning'!$J$49-'Retirement Planning'!$J$48)*'Retirement Planning'!$I$49)+MIN(((SUM(Z20:Z31)-'Retirement Planning'!$I$53-'Retirement Planning'!$I$54))*'Retirement Planning'!$I$48,('Retirement Planning'!$J$48)*'Retirement Planning'!$I$48))+(IF((SUM(Z20:Z31)-'Retirement Planning'!$I$54-'Retirement Planning'!$I$61)&gt;'Retirement Planning'!$J$59,(SUM(Z20:Z31)-'Retirement Planning'!$I$54-'Retirement Planning'!$I$61-'Retirement Planning'!$J$59)*'Retirement Planning'!$I$60+'Retirement Planning'!$K$59,IF((SUM(Z20:Z31)-'Retirement Planning'!$I$54-'Retirement Planning'!$I$61)&gt;'Retirement Planning'!$J$58,(SUM(Z20:Z31)-'Retirement Planning'!$I$54-'Retirement Planning'!$I$61-'Retirement Planning'!$J$58)*'Retirement Planning'!$I$59+'Retirement Planning'!$K$58,IF((SUM(Z20:Z31)-'Retirement Planning'!$I$54-'Retirement Planning'!$I$61)&gt;'Retirement Planning'!$J$57,(SUM(Z20:Z31)-'Retirement Planning'!$I$54-'Retirement Planning'!$I$61-'Retirement Planning'!$J$57)*'Retirement Planning'!$I$58+'Retirement Planning'!$K$57,IF((SUM(Z20:Z31)-'Retirement Planning'!$I$54-'Retirement Planning'!$I$61)&gt;'Retirement Planning'!$J$56,(SUM(Z20:Z31)-'Retirement Planning'!$I$54-'Retirement Planning'!$I$61-'Retirement Planning'!$J$56)*'Retirement Planning'!$I$57+'Retirement Planning'!$K$56,(SUM(Z20:Z31)-'Retirement Planning'!$I$54-'Retirement Planning'!$I$61)*'Retirement Planning'!$I$56))))))/12,AA31)</f>
        <v>925</v>
      </c>
      <c r="AB32" s="104">
        <f t="shared" ca="1" si="5"/>
        <v>0.17115925228932574</v>
      </c>
      <c r="AC32" s="7">
        <f>IF(B32&lt;65,'Retirement Planning'!$J$28,0)</f>
        <v>583</v>
      </c>
      <c r="AD32" s="7">
        <f>IF(B32&lt;65,'Retirement Planning'!$J$29/12,0)</f>
        <v>291.66666666666669</v>
      </c>
      <c r="AE32" s="22">
        <f>'Retirement Planning'!$J$31/12</f>
        <v>58.333333333333336</v>
      </c>
      <c r="AF32" s="22">
        <f>'Retirement Planning'!$J$32/12</f>
        <v>66.666666666666671</v>
      </c>
      <c r="AG32" s="7">
        <f>IF($B32&gt;64.9,'Retirement Planning'!$J$39/12,0)</f>
        <v>0</v>
      </c>
      <c r="AH32" s="7">
        <f>IF($B32&gt;64.9,'Retirement Planning'!$J$40/12,0)</f>
        <v>0</v>
      </c>
      <c r="AI32" s="7">
        <f>IF($B32&gt;64.9,'Retirement Planning'!$J$41/12,0)</f>
        <v>0</v>
      </c>
      <c r="AJ32" s="7">
        <f t="shared" ca="1" si="6"/>
        <v>0</v>
      </c>
      <c r="AK32" s="3" t="str">
        <f t="shared" ca="1" si="7"/>
        <v>N/A</v>
      </c>
      <c r="AL32" s="6" t="str">
        <f t="shared" ca="1" si="8"/>
        <v>N/A</v>
      </c>
      <c r="AM32" s="7">
        <f t="shared" ca="1" si="9"/>
        <v>6.8212102632969618E-13</v>
      </c>
      <c r="AN32" s="7">
        <f t="shared" ca="1" si="10"/>
        <v>7297.8983713544485</v>
      </c>
      <c r="AO32" s="7">
        <f t="shared" si="11"/>
        <v>999.66666666666674</v>
      </c>
    </row>
    <row r="33" spans="1:41" x14ac:dyDescent="0.2">
      <c r="A33">
        <f t="shared" si="12"/>
        <v>0</v>
      </c>
      <c r="B33" s="5">
        <f t="shared" si="13"/>
        <v>58.2</v>
      </c>
      <c r="C33" s="56">
        <f t="shared" si="14"/>
        <v>47119</v>
      </c>
      <c r="D33" s="57">
        <f ca="1">IF(AND(B32&lt;59.5,OR(B33&gt;59.5,B33=59.5)),(D32-E32+J32-K32)*(1+'Retirement Planning'!$J$23/12),(D32-E32)*(1+'Retirement Planning'!$J$23/12))</f>
        <v>173718.79896024073</v>
      </c>
      <c r="E33" s="58">
        <f t="shared" ca="1" si="0"/>
        <v>667.01592685542619</v>
      </c>
      <c r="F33" s="57">
        <f>IF(AND(OR(B33&gt;59.5,B33=59.5),B32&lt;59.5),(F32-G32+L32-M32+N32-O32)*(1+'Retirement Planning'!$J$23/12),(F32-G32)*(1+'Retirement Planning'!$J$23/12))</f>
        <v>13377.631698364359</v>
      </c>
      <c r="G33" s="58">
        <f>IF(AND($B$10&lt;55,B33&lt;59.5),'Retirement Planning'!$J$25,IF(OR(B33&gt;59.5,B33=59.5),MAX(0,MIN(F33,IF(D33&lt;2500,((Y33+AJ33+AA33))-X33,((Y33+AJ33+AA33)*'Retirement Planning'!$J$44)-X33))),0))</f>
        <v>0</v>
      </c>
      <c r="H33" s="255">
        <f>IF(MONTH(C33)=1,IF(B33&gt;69.5,F33/(INDEX('Retirement Planning'!D$1:D$264,(160+INT(B33))))/12,0),IF(F33=0,0,H32))</f>
        <v>0</v>
      </c>
      <c r="I33" s="262">
        <f t="shared" si="1"/>
        <v>0</v>
      </c>
      <c r="J33" s="254">
        <f>IF(AND(B32&lt;59.5,OR(B33=59.5,B33&gt;59.5)),0,(J32-K32)*(1+'Retirement Planning'!$J$23/12))</f>
        <v>37010.446117364263</v>
      </c>
      <c r="K33" s="58">
        <f t="shared" si="2"/>
        <v>0</v>
      </c>
      <c r="L33" s="57">
        <f ca="1">IF(AND(OR(B33&gt;59.5,B33=59.5),B32&lt;59.5),0,(L32-M32)*(1+'Retirement Planning'!$J$23/12))</f>
        <v>993593.50306079455</v>
      </c>
      <c r="M33" s="59">
        <f ca="1">IF(AND($B$10&lt;55,B33&lt;59.5),0,IF(B33&lt;59.5,MAX(0,MIN((($Y33+$AJ33+AA33)*'Retirement Planning'!$J$44)-$G33-$X33,L33)),0))</f>
        <v>5265.9152120165254</v>
      </c>
      <c r="N33" s="57">
        <f>(N32-O32)*(1+'Retirement Planning'!$J$23/12)</f>
        <v>0</v>
      </c>
      <c r="O33" s="59">
        <f>IF(B33&gt;59.5,MAX(0,MIN((AA33+$Y33+$AJ33)*(IF(D33&lt;(MIN(E21:E32)+1),1,'Retirement Planning'!$J$44))-M33-$G33-$X33-(IF(D33&lt;(MIN(E21:E32)+1),D33,0)),N33)),0)</f>
        <v>0</v>
      </c>
      <c r="P33" s="57">
        <f t="shared" si="15"/>
        <v>28749.333333333303</v>
      </c>
      <c r="Q33" s="58">
        <f t="shared" si="16"/>
        <v>641.33333333333337</v>
      </c>
      <c r="R33" s="57">
        <f ca="1">(R32-S32-T32)*(1+'Retirement Planning'!$J$23/12)</f>
        <v>190642.95027482504</v>
      </c>
      <c r="S33" s="58">
        <f t="shared" ca="1" si="17"/>
        <v>358.33333333333337</v>
      </c>
      <c r="T33" s="273">
        <f t="shared" ca="1" si="3"/>
        <v>2.2737367544323206E-13</v>
      </c>
      <c r="U33" s="57">
        <f ca="1">(U32-V32)*(1+'Retirement Planning'!$J$23/12)</f>
        <v>176585.2012371344</v>
      </c>
      <c r="V33" s="24">
        <f ca="1">IF(AND($B$10&lt;55,B33&lt;59.5),MIN(U33,MAX(0,(Y33+AA33+AJ33-G33)*'Retirement Planning'!$J$45)),IF(B33&lt;59.5,(MIN(U33,MAX(0,((Y33+AA33+AJ33)-G33-M33)*'Retirement Planning'!$J$45))),MIN(U33,MAX(0,(Y33+AA33+AJ33-G33-M33-K33-X33)*'Retirement Planning'!$J$45))))</f>
        <v>568.19875250647419</v>
      </c>
      <c r="W33" s="7">
        <f t="shared" ca="1" si="4"/>
        <v>1613677.8646820567</v>
      </c>
      <c r="X33" s="7">
        <f>(IF(B33&gt;'Retirement Planning'!$J$34,IF('Retirement Planning'!$J$34=70,'Retirement Planning'!$J$37/12,IF('Retirement Planning'!$J$34=67,'Retirement Planning'!$J$36/12,'Retirement Planning'!$J$35/12)),0))*'Retirement Planning'!$J$38</f>
        <v>0</v>
      </c>
      <c r="Y33" s="7">
        <f ca="1">'Retirement Planning'!$F$35*((1+'Retirement Planning'!$J$24)^(YEAR('Projected Retirement Drawdown'!C33)-YEAR(TODAY())))</f>
        <v>5561.2948143518543</v>
      </c>
      <c r="Z33" s="7">
        <f ca="1">G33+M33+O33+0.85*X33+V33*'Retirement Planning'!$J$46+T33</f>
        <v>5578.4245258950859</v>
      </c>
      <c r="AA33" s="7">
        <f ca="1">IF(MONTH(C33)=1,(((MIN(MAX(0,((SUM(Z21:Z32)-'Retirement Planning'!$I$53-'Retirement Planning'!$I$54)-'Retirement Planning'!$J$51)*'Retirement Planning'!$I$52))))+(MIN(MAX(0,((SUM(Z21:Z32)-'Retirement Planning'!$I$53-'Retirement Planning'!$I$54)-'Retirement Planning'!$J$50)*'Retirement Planning'!$I$51),('Retirement Planning'!$J$51-'Retirement Planning'!$J$50)*'Retirement Planning'!$I$51))+(MIN(MAX(0,((SUM(Z21:Z32)-'Retirement Planning'!$I$53-'Retirement Planning'!$I$54)-'Retirement Planning'!$J$49)*'Retirement Planning'!$I$50),('Retirement Planning'!$J$50-'Retirement Planning'!$J$49)*'Retirement Planning'!$I$50)+MIN(MAX(0,((SUM(Z21:Z32)-'Retirement Planning'!$I$53-'Retirement Planning'!$I$54)-'Retirement Planning'!$J$48)*'Retirement Planning'!$I$49),('Retirement Planning'!$J$49-'Retirement Planning'!$J$48)*'Retirement Planning'!$I$49)+MIN(((SUM(Z21:Z32)-'Retirement Planning'!$I$53-'Retirement Planning'!$I$54))*'Retirement Planning'!$I$48,('Retirement Planning'!$J$48)*'Retirement Planning'!$I$48))+(IF((SUM(Z21:Z32)-'Retirement Planning'!$I$54-'Retirement Planning'!$I$61)&gt;'Retirement Planning'!$J$59,(SUM(Z21:Z32)-'Retirement Planning'!$I$54-'Retirement Planning'!$I$61-'Retirement Planning'!$J$59)*'Retirement Planning'!$I$60+'Retirement Planning'!$K$59,IF((SUM(Z21:Z32)-'Retirement Planning'!$I$54-'Retirement Planning'!$I$61)&gt;'Retirement Planning'!$J$58,(SUM(Z21:Z32)-'Retirement Planning'!$I$54-'Retirement Planning'!$I$61-'Retirement Planning'!$J$58)*'Retirement Planning'!$I$59+'Retirement Planning'!$K$58,IF((SUM(Z21:Z32)-'Retirement Planning'!$I$54-'Retirement Planning'!$I$61)&gt;'Retirement Planning'!$J$57,(SUM(Z21:Z32)-'Retirement Planning'!$I$54-'Retirement Planning'!$I$61-'Retirement Planning'!$J$57)*'Retirement Planning'!$I$58+'Retirement Planning'!$K$57,IF((SUM(Z21:Z32)-'Retirement Planning'!$I$54-'Retirement Planning'!$I$61)&gt;'Retirement Planning'!$J$56,(SUM(Z21:Z32)-'Retirement Planning'!$I$54-'Retirement Planning'!$I$61-'Retirement Planning'!$J$56)*'Retirement Planning'!$I$57+'Retirement Planning'!$K$56,(SUM(Z21:Z32)-'Retirement Planning'!$I$54-'Retirement Planning'!$I$61)*'Retirement Planning'!$I$56))))))/12,AA32)</f>
        <v>939.83507702657153</v>
      </c>
      <c r="AB33" s="104">
        <f ca="1">SUM(AA33:AA44)/SUM(Z21:Z32)</f>
        <v>0.17390429087475556</v>
      </c>
      <c r="AC33" s="7">
        <f>IF(B33&lt;65,'Retirement Planning'!$J$28,0)</f>
        <v>583</v>
      </c>
      <c r="AD33" s="7">
        <f>IF(B33&lt;65,'Retirement Planning'!$J$29/12,0)</f>
        <v>291.66666666666669</v>
      </c>
      <c r="AE33" s="22">
        <f>'Retirement Planning'!$J$31/12</f>
        <v>58.333333333333336</v>
      </c>
      <c r="AF33" s="22">
        <f>'Retirement Planning'!$J$32/12</f>
        <v>66.666666666666671</v>
      </c>
      <c r="AG33" s="7">
        <f>IF($B33&gt;64.9,'Retirement Planning'!$J$39/12,0)</f>
        <v>0</v>
      </c>
      <c r="AH33" s="7">
        <f>IF($B33&gt;64.9,'Retirement Planning'!$J$40/12,0)</f>
        <v>0</v>
      </c>
      <c r="AI33" s="7">
        <f>IF($B33&gt;64.9,'Retirement Planning'!$J$41/12,0)</f>
        <v>0</v>
      </c>
      <c r="AJ33" s="7">
        <f t="shared" ca="1" si="6"/>
        <v>0</v>
      </c>
      <c r="AK33" s="3" t="str">
        <f t="shared" ca="1" si="7"/>
        <v>N/A</v>
      </c>
      <c r="AL33" s="6" t="str">
        <f t="shared" ca="1" si="8"/>
        <v>N/A</v>
      </c>
      <c r="AM33" s="7">
        <f t="shared" ca="1" si="9"/>
        <v>6.8212102632969618E-13</v>
      </c>
      <c r="AN33" s="7">
        <f t="shared" ca="1" si="10"/>
        <v>7500.7965580450928</v>
      </c>
      <c r="AO33" s="7">
        <f t="shared" si="11"/>
        <v>999.66666666666674</v>
      </c>
    </row>
    <row r="34" spans="1:41" x14ac:dyDescent="0.2">
      <c r="A34">
        <f t="shared" si="12"/>
        <v>0</v>
      </c>
      <c r="B34" s="5">
        <f t="shared" si="13"/>
        <v>58.3</v>
      </c>
      <c r="C34" s="56">
        <f t="shared" si="14"/>
        <v>47150</v>
      </c>
      <c r="D34" s="57">
        <f ca="1">IF(AND(B33&lt;59.5,OR(B34&gt;59.5,B34=59.5)),(D33-E33+J33-K33)*(1+'Retirement Planning'!$J$23/12),(D33-E33)*(1+'Retirement Planning'!$J$23/12))</f>
        <v>174277.56649653846</v>
      </c>
      <c r="E34" s="58">
        <f t="shared" ca="1" si="0"/>
        <v>667.01592685542619</v>
      </c>
      <c r="F34" s="57">
        <f>IF(AND(OR(B34&gt;59.5,B34=59.5),B33&lt;59.5),(F33-G33+L33-M33+N33-O33)*(1+'Retirement Planning'!$J$23/12),(F33-G33)*(1+'Retirement Planning'!$J$23/12))</f>
        <v>13472.389922894439</v>
      </c>
      <c r="G34" s="58">
        <f>IF(AND($B$10&lt;55,B34&lt;59.5),'Retirement Planning'!$J$25,IF(OR(B34&gt;59.5,B34=59.5),MAX(0,MIN(F34,IF(D34&lt;2500,((Y34+AJ34+AA34))-X34,((Y34+AJ34+AA34)*'Retirement Planning'!$J$44)-X34))),0))</f>
        <v>0</v>
      </c>
      <c r="H34" s="255">
        <f>IF(MONTH(C34)=1,IF(B34&gt;69.5,F34/(INDEX('Retirement Planning'!D$1:D$264,(160+INT(B34))))/12,0),IF(F34=0,0,H33))</f>
        <v>0</v>
      </c>
      <c r="I34" s="262">
        <f t="shared" si="1"/>
        <v>0</v>
      </c>
      <c r="J34" s="254">
        <f>IF(AND(B33&lt;59.5,OR(B34=59.5,B34&gt;59.5)),0,(J33-K33)*(1+'Retirement Planning'!$J$23/12))</f>
        <v>37272.60344402893</v>
      </c>
      <c r="K34" s="58">
        <f t="shared" si="2"/>
        <v>0</v>
      </c>
      <c r="L34" s="57">
        <f ca="1">IF(AND(OR(B34&gt;59.5,B34=59.5),B33&lt;59.5),0,(L33-M33)*(1+'Retirement Planning'!$J$23/12))</f>
        <v>995328.2415960402</v>
      </c>
      <c r="M34" s="59">
        <f ca="1">IF(AND($B$10&lt;55,B34&lt;59.5),0,IF(B34&lt;59.5,MAX(0,MIN((($Y34+$AJ34+AA34)*'Retirement Planning'!$J$44)-$G34-$X34,L34)),0))</f>
        <v>5265.9152120165254</v>
      </c>
      <c r="N34" s="57">
        <f>(N33-O33)*(1+'Retirement Planning'!$J$23/12)</f>
        <v>0</v>
      </c>
      <c r="O34" s="59">
        <f>IF(B34&gt;59.5,MAX(0,MIN((AA34+$Y34+$AJ34)*(IF(D34&lt;(MIN(E22:E33)+1),1,'Retirement Planning'!$J$44))-M34-$G34-$X34-(IF(D34&lt;(MIN(E22:E33)+1),D34,0)),N34)),0)</f>
        <v>0</v>
      </c>
      <c r="P34" s="57">
        <f t="shared" si="15"/>
        <v>28107.999999999971</v>
      </c>
      <c r="Q34" s="58">
        <f t="shared" si="16"/>
        <v>641.33333333333337</v>
      </c>
      <c r="R34" s="57">
        <f ca="1">(R33-S33-T33)*(1+'Retirement Planning'!$J$23/12)</f>
        <v>191632.46631149392</v>
      </c>
      <c r="S34" s="58">
        <f t="shared" ca="1" si="17"/>
        <v>358.33333333333337</v>
      </c>
      <c r="T34" s="273">
        <f t="shared" ca="1" si="3"/>
        <v>2.2737367544323206E-13</v>
      </c>
      <c r="U34" s="57">
        <f ca="1">(U33-V33)*(1+'Retirement Planning'!$J$23/12)</f>
        <v>177263.78958556073</v>
      </c>
      <c r="V34" s="24">
        <f ca="1">IF(AND($B$10&lt;55,B34&lt;59.5),MIN(U34,MAX(0,(Y34+AA34+AJ34-G34)*'Retirement Planning'!$J$45)),IF(B34&lt;59.5,(MIN(U34,MAX(0,((Y34+AA34+AJ34)-G34-M34)*'Retirement Planning'!$J$45))),MIN(U34,MAX(0,(Y34+AA34+AJ34-G34-M34-K34-X34)*'Retirement Planning'!$J$45))))</f>
        <v>568.19875250647419</v>
      </c>
      <c r="W34" s="7">
        <f t="shared" ca="1" si="4"/>
        <v>1617355.0573565566</v>
      </c>
      <c r="X34" s="7">
        <f>(IF(B34&gt;'Retirement Planning'!$J$34,IF('Retirement Planning'!$J$34=70,'Retirement Planning'!$J$37/12,IF('Retirement Planning'!$J$34=67,'Retirement Planning'!$J$36/12,'Retirement Planning'!$J$35/12)),0))*'Retirement Planning'!$J$38</f>
        <v>0</v>
      </c>
      <c r="Y34" s="7">
        <f ca="1">'Retirement Planning'!$F$35*((1+'Retirement Planning'!$J$24)^(YEAR('Projected Retirement Drawdown'!C34)-YEAR(TODAY())))</f>
        <v>5561.2948143518543</v>
      </c>
      <c r="Z34" s="7">
        <f ca="1">G34+M34+O34+0.85*X34+V34*'Retirement Planning'!$J$46+T34</f>
        <v>5578.4245258950859</v>
      </c>
      <c r="AA34" s="7">
        <f ca="1">IF(MONTH(C34)=1,(((MIN(MAX(0,((SUM(Z22:Z33)-'Retirement Planning'!$I$53-'Retirement Planning'!$I$54)-'Retirement Planning'!$J$51)*'Retirement Planning'!$I$52))))+(MIN(MAX(0,((SUM(Z22:Z33)-'Retirement Planning'!$I$53-'Retirement Planning'!$I$54)-'Retirement Planning'!$J$50)*'Retirement Planning'!$I$51),('Retirement Planning'!$J$51-'Retirement Planning'!$J$50)*'Retirement Planning'!$I$51))+(MIN(MAX(0,((SUM(Z22:Z33)-'Retirement Planning'!$I$53-'Retirement Planning'!$I$54)-'Retirement Planning'!$J$49)*'Retirement Planning'!$I$50),('Retirement Planning'!$J$50-'Retirement Planning'!$J$49)*'Retirement Planning'!$I$50)+MIN(MAX(0,((SUM(Z22:Z33)-'Retirement Planning'!$I$53-'Retirement Planning'!$I$54)-'Retirement Planning'!$J$48)*'Retirement Planning'!$I$49),('Retirement Planning'!$J$49-'Retirement Planning'!$J$48)*'Retirement Planning'!$I$49)+MIN(((SUM(Z22:Z33)-'Retirement Planning'!$I$53-'Retirement Planning'!$I$54))*'Retirement Planning'!$I$48,('Retirement Planning'!$J$48)*'Retirement Planning'!$I$48))+(IF((SUM(Z22:Z33)-'Retirement Planning'!$I$54-'Retirement Planning'!$I$61)&gt;'Retirement Planning'!$J$59,(SUM(Z22:Z33)-'Retirement Planning'!$I$54-'Retirement Planning'!$I$61-'Retirement Planning'!$J$59)*'Retirement Planning'!$I$60+'Retirement Planning'!$K$59,IF((SUM(Z22:Z33)-'Retirement Planning'!$I$54-'Retirement Planning'!$I$61)&gt;'Retirement Planning'!$J$58,(SUM(Z22:Z33)-'Retirement Planning'!$I$54-'Retirement Planning'!$I$61-'Retirement Planning'!$J$58)*'Retirement Planning'!$I$59+'Retirement Planning'!$K$58,IF((SUM(Z22:Z33)-'Retirement Planning'!$I$54-'Retirement Planning'!$I$61)&gt;'Retirement Planning'!$J$57,(SUM(Z22:Z33)-'Retirement Planning'!$I$54-'Retirement Planning'!$I$61-'Retirement Planning'!$J$57)*'Retirement Planning'!$I$58+'Retirement Planning'!$K$57,IF((SUM(Z22:Z33)-'Retirement Planning'!$I$54-'Retirement Planning'!$I$61)&gt;'Retirement Planning'!$J$56,(SUM(Z22:Z33)-'Retirement Planning'!$I$54-'Retirement Planning'!$I$61-'Retirement Planning'!$J$56)*'Retirement Planning'!$I$57+'Retirement Planning'!$K$56,(SUM(Z22:Z33)-'Retirement Planning'!$I$54-'Retirement Planning'!$I$61)*'Retirement Planning'!$I$56))))))/12,AA33)</f>
        <v>939.83507702657153</v>
      </c>
      <c r="AB34" s="104">
        <f ca="1">AB33</f>
        <v>0.17390429087475556</v>
      </c>
      <c r="AC34" s="7">
        <f>IF(B34&lt;65,'Retirement Planning'!$J$28,0)</f>
        <v>583</v>
      </c>
      <c r="AD34" s="7">
        <f>IF(B34&lt;65,'Retirement Planning'!$J$29/12,0)</f>
        <v>291.66666666666669</v>
      </c>
      <c r="AE34" s="22">
        <f>'Retirement Planning'!$J$31/12</f>
        <v>58.333333333333336</v>
      </c>
      <c r="AF34" s="22">
        <f>'Retirement Planning'!$J$32/12</f>
        <v>66.666666666666671</v>
      </c>
      <c r="AG34" s="7">
        <f>IF($B34&gt;64.9,'Retirement Planning'!$J$39/12,0)</f>
        <v>0</v>
      </c>
      <c r="AH34" s="7">
        <f>IF($B34&gt;64.9,'Retirement Planning'!$J$40/12,0)</f>
        <v>0</v>
      </c>
      <c r="AI34" s="7">
        <f>IF($B34&gt;64.9,'Retirement Planning'!$J$41/12,0)</f>
        <v>0</v>
      </c>
      <c r="AJ34" s="7">
        <f t="shared" ca="1" si="6"/>
        <v>0</v>
      </c>
      <c r="AK34" s="3" t="str">
        <f t="shared" ca="1" si="7"/>
        <v>N/A</v>
      </c>
      <c r="AL34" s="6" t="str">
        <f t="shared" ca="1" si="8"/>
        <v>N/A</v>
      </c>
      <c r="AM34" s="7">
        <f t="shared" ca="1" si="9"/>
        <v>6.8212102632969618E-13</v>
      </c>
      <c r="AN34" s="7">
        <f t="shared" ca="1" si="10"/>
        <v>7500.7965580450928</v>
      </c>
      <c r="AO34" s="7">
        <f t="shared" si="11"/>
        <v>999.66666666666674</v>
      </c>
    </row>
    <row r="35" spans="1:41" x14ac:dyDescent="0.2">
      <c r="A35">
        <f t="shared" si="12"/>
        <v>0</v>
      </c>
      <c r="B35" s="5">
        <f t="shared" si="13"/>
        <v>58.4</v>
      </c>
      <c r="C35" s="56">
        <f t="shared" si="14"/>
        <v>47178</v>
      </c>
      <c r="D35" s="57">
        <f ca="1">IF(AND(B34&lt;59.5,OR(B35&gt;59.5,B35=59.5)),(D34-E34+J34-K34)*(1+'Retirement Planning'!$J$23/12),(D34-E34)*(1+'Retirement Planning'!$J$23/12))</f>
        <v>174840.29196955165</v>
      </c>
      <c r="E35" s="58">
        <f t="shared" ca="1" si="0"/>
        <v>667.01592685542619</v>
      </c>
      <c r="F35" s="57">
        <f>IF(AND(OR(B35&gt;59.5,B35=59.5),B34&lt;59.5),(F34-G34+L34-M34+N34-O34)*(1+'Retirement Planning'!$J$23/12),(F34-G34)*(1+'Retirement Planning'!$J$23/12))</f>
        <v>13567.819351514941</v>
      </c>
      <c r="G35" s="58">
        <f>IF(AND($B$10&lt;55,B35&lt;59.5),'Retirement Planning'!$J$25,IF(OR(B35&gt;59.5,B35=59.5),MAX(0,MIN(F35,IF(D35&lt;2500,((Y35+AJ35+AA35))-X35,((Y35+AJ35+AA35)*'Retirement Planning'!$J$44)-X35))),0))</f>
        <v>0</v>
      </c>
      <c r="H35" s="255">
        <f>IF(MONTH(C35)=1,IF(B35&gt;69.5,F35/(INDEX('Retirement Planning'!D$1:D$264,(160+INT(B35))))/12,0),IF(F35=0,0,H34))</f>
        <v>0</v>
      </c>
      <c r="I35" s="262">
        <f t="shared" si="1"/>
        <v>0</v>
      </c>
      <c r="J35" s="254">
        <f>IF(AND(B34&lt;59.5,OR(B35=59.5,B35&gt;59.5)),0,(J34-K34)*(1+'Retirement Planning'!$J$23/12))</f>
        <v>37536.617718424131</v>
      </c>
      <c r="K35" s="58">
        <f t="shared" si="2"/>
        <v>0</v>
      </c>
      <c r="L35" s="57">
        <f ca="1">IF(AND(OR(B35&gt;59.5,B35=59.5),B34&lt;59.5),0,(L34-M34)*(1+'Retirement Planning'!$J$23/12))</f>
        <v>997075.26786257711</v>
      </c>
      <c r="M35" s="59">
        <f ca="1">IF(AND($B$10&lt;55,B35&lt;59.5),0,IF(B35&lt;59.5,MAX(0,MIN((($Y35+$AJ35+AA35)*'Retirement Planning'!$J$44)-$G35-$X35,L35)),0))</f>
        <v>5265.9152120165254</v>
      </c>
      <c r="N35" s="57">
        <f>(N34-O34)*(1+'Retirement Planning'!$J$23/12)</f>
        <v>0</v>
      </c>
      <c r="O35" s="59">
        <f>IF(B35&gt;59.5,MAX(0,MIN((AA35+$Y35+$AJ35)*(IF(D35&lt;(MIN(E23:E34)+1),1,'Retirement Planning'!$J$44))-M35-$G35-$X35-(IF(D35&lt;(MIN(E23:E34)+1),D35,0)),N35)),0)</f>
        <v>0</v>
      </c>
      <c r="P35" s="57">
        <f t="shared" si="15"/>
        <v>27466.666666666639</v>
      </c>
      <c r="Q35" s="58">
        <f t="shared" si="16"/>
        <v>641.33333333333337</v>
      </c>
      <c r="R35" s="57">
        <f ca="1">(R34-S34-T34)*(1+'Retirement Planning'!$J$23/12)</f>
        <v>192628.99142008921</v>
      </c>
      <c r="S35" s="58">
        <f t="shared" ca="1" si="17"/>
        <v>358.33333333333337</v>
      </c>
      <c r="T35" s="273">
        <f t="shared" ca="1" si="3"/>
        <v>2.2737367544323206E-13</v>
      </c>
      <c r="U35" s="57">
        <f ca="1">(U34-V34)*(1+'Retirement Planning'!$J$23/12)</f>
        <v>177947.18460145508</v>
      </c>
      <c r="V35" s="24">
        <f ca="1">IF(AND($B$10&lt;55,B35&lt;59.5),MIN(U35,MAX(0,(Y35+AA35+AJ35-G35)*'Retirement Planning'!$J$45)),IF(B35&lt;59.5,(MIN(U35,MAX(0,((Y35+AA35+AJ35)-G35-M35)*'Retirement Planning'!$J$45))),MIN(U35,MAX(0,(Y35+AA35+AJ35-G35-M35-K35-X35)*'Retirement Planning'!$J$45))))</f>
        <v>568.19875250647419</v>
      </c>
      <c r="W35" s="7">
        <f t="shared" ca="1" si="4"/>
        <v>1621062.8395902789</v>
      </c>
      <c r="X35" s="7">
        <f>(IF(B35&gt;'Retirement Planning'!$J$34,IF('Retirement Planning'!$J$34=70,'Retirement Planning'!$J$37/12,IF('Retirement Planning'!$J$34=67,'Retirement Planning'!$J$36/12,'Retirement Planning'!$J$35/12)),0))*'Retirement Planning'!$J$38</f>
        <v>0</v>
      </c>
      <c r="Y35" s="7">
        <f ca="1">'Retirement Planning'!$F$35*((1+'Retirement Planning'!$J$24)^(YEAR('Projected Retirement Drawdown'!C35)-YEAR(TODAY())))</f>
        <v>5561.2948143518543</v>
      </c>
      <c r="Z35" s="7">
        <f ca="1">G35+M35+O35+0.85*X35+V35*'Retirement Planning'!$J$46+T35</f>
        <v>5578.4245258950859</v>
      </c>
      <c r="AA35" s="7">
        <f ca="1">IF(MONTH(C35)=1,(((MIN(MAX(0,((SUM(Z23:Z34)-'Retirement Planning'!$I$53-'Retirement Planning'!$I$54)-'Retirement Planning'!$J$51)*'Retirement Planning'!$I$52))))+(MIN(MAX(0,((SUM(Z23:Z34)-'Retirement Planning'!$I$53-'Retirement Planning'!$I$54)-'Retirement Planning'!$J$50)*'Retirement Planning'!$I$51),('Retirement Planning'!$J$51-'Retirement Planning'!$J$50)*'Retirement Planning'!$I$51))+(MIN(MAX(0,((SUM(Z23:Z34)-'Retirement Planning'!$I$53-'Retirement Planning'!$I$54)-'Retirement Planning'!$J$49)*'Retirement Planning'!$I$50),('Retirement Planning'!$J$50-'Retirement Planning'!$J$49)*'Retirement Planning'!$I$50)+MIN(MAX(0,((SUM(Z23:Z34)-'Retirement Planning'!$I$53-'Retirement Planning'!$I$54)-'Retirement Planning'!$J$48)*'Retirement Planning'!$I$49),('Retirement Planning'!$J$49-'Retirement Planning'!$J$48)*'Retirement Planning'!$I$49)+MIN(((SUM(Z23:Z34)-'Retirement Planning'!$I$53-'Retirement Planning'!$I$54))*'Retirement Planning'!$I$48,('Retirement Planning'!$J$48)*'Retirement Planning'!$I$48))+(IF((SUM(Z23:Z34)-'Retirement Planning'!$I$54-'Retirement Planning'!$I$61)&gt;'Retirement Planning'!$J$59,(SUM(Z23:Z34)-'Retirement Planning'!$I$54-'Retirement Planning'!$I$61-'Retirement Planning'!$J$59)*'Retirement Planning'!$I$60+'Retirement Planning'!$K$59,IF((SUM(Z23:Z34)-'Retirement Planning'!$I$54-'Retirement Planning'!$I$61)&gt;'Retirement Planning'!$J$58,(SUM(Z23:Z34)-'Retirement Planning'!$I$54-'Retirement Planning'!$I$61-'Retirement Planning'!$J$58)*'Retirement Planning'!$I$59+'Retirement Planning'!$K$58,IF((SUM(Z23:Z34)-'Retirement Planning'!$I$54-'Retirement Planning'!$I$61)&gt;'Retirement Planning'!$J$57,(SUM(Z23:Z34)-'Retirement Planning'!$I$54-'Retirement Planning'!$I$61-'Retirement Planning'!$J$57)*'Retirement Planning'!$I$58+'Retirement Planning'!$K$57,IF((SUM(Z23:Z34)-'Retirement Planning'!$I$54-'Retirement Planning'!$I$61)&gt;'Retirement Planning'!$J$56,(SUM(Z23:Z34)-'Retirement Planning'!$I$54-'Retirement Planning'!$I$61-'Retirement Planning'!$J$56)*'Retirement Planning'!$I$57+'Retirement Planning'!$K$56,(SUM(Z23:Z34)-'Retirement Planning'!$I$54-'Retirement Planning'!$I$61)*'Retirement Planning'!$I$56))))))/12,AA34)</f>
        <v>939.83507702657153</v>
      </c>
      <c r="AB35" s="104">
        <f t="shared" ref="AB35:AB44" ca="1" si="19">AB34</f>
        <v>0.17390429087475556</v>
      </c>
      <c r="AC35" s="7">
        <f>IF(B35&lt;65,'Retirement Planning'!$J$28,0)</f>
        <v>583</v>
      </c>
      <c r="AD35" s="7">
        <f>IF(B35&lt;65,'Retirement Planning'!$J$29/12,0)</f>
        <v>291.66666666666669</v>
      </c>
      <c r="AE35" s="22">
        <f>'Retirement Planning'!$J$31/12</f>
        <v>58.333333333333336</v>
      </c>
      <c r="AF35" s="22">
        <f>'Retirement Planning'!$J$32/12</f>
        <v>66.666666666666671</v>
      </c>
      <c r="AG35" s="7">
        <f>IF($B35&gt;64.9,'Retirement Planning'!$J$39/12,0)</f>
        <v>0</v>
      </c>
      <c r="AH35" s="7">
        <f>IF($B35&gt;64.9,'Retirement Planning'!$J$40/12,0)</f>
        <v>0</v>
      </c>
      <c r="AI35" s="7">
        <f>IF($B35&gt;64.9,'Retirement Planning'!$J$41/12,0)</f>
        <v>0</v>
      </c>
      <c r="AJ35" s="7">
        <f t="shared" ca="1" si="6"/>
        <v>0</v>
      </c>
      <c r="AK35" s="3" t="str">
        <f t="shared" ca="1" si="7"/>
        <v>N/A</v>
      </c>
      <c r="AL35" s="6" t="str">
        <f t="shared" ca="1" si="8"/>
        <v>N/A</v>
      </c>
      <c r="AM35" s="7">
        <f t="shared" ca="1" si="9"/>
        <v>6.8212102632969618E-13</v>
      </c>
      <c r="AN35" s="7">
        <f t="shared" ca="1" si="10"/>
        <v>7500.7965580450928</v>
      </c>
      <c r="AO35" s="7">
        <f t="shared" si="11"/>
        <v>999.66666666666674</v>
      </c>
    </row>
    <row r="36" spans="1:41" x14ac:dyDescent="0.2">
      <c r="A36">
        <f t="shared" si="12"/>
        <v>0</v>
      </c>
      <c r="B36" s="5">
        <f t="shared" si="13"/>
        <v>58.5</v>
      </c>
      <c r="C36" s="56">
        <f t="shared" si="14"/>
        <v>47209</v>
      </c>
      <c r="D36" s="57">
        <f ca="1">IF(AND(B35&lt;59.5,OR(B36&gt;59.5,B36=59.5)),(D35-E35+J35-K35)*(1+'Retirement Planning'!$J$23/12),(D35-E35)*(1+'Retirement Planning'!$J$23/12))</f>
        <v>175407.00341466532</v>
      </c>
      <c r="E36" s="58">
        <f t="shared" ca="1" si="0"/>
        <v>667.01592685542619</v>
      </c>
      <c r="F36" s="57">
        <f>IF(AND(OR(B36&gt;59.5,B36=59.5),B35&lt;59.5),(F35-G35+L35-M35+N35-O35)*(1+'Retirement Planning'!$J$23/12),(F35-G35)*(1+'Retirement Planning'!$J$23/12))</f>
        <v>13663.924738588172</v>
      </c>
      <c r="G36" s="58">
        <f>IF(AND($B$10&lt;55,B36&lt;59.5),'Retirement Planning'!$J$25,IF(OR(B36&gt;59.5,B36=59.5),MAX(0,MIN(F36,IF(D36&lt;2500,((Y36+AJ36+AA36))-X36,((Y36+AJ36+AA36)*'Retirement Planning'!$J$44)-X36))),0))</f>
        <v>0</v>
      </c>
      <c r="H36" s="255">
        <f>IF(MONTH(C36)=1,IF(B36&gt;69.5,F36/(INDEX('Retirement Planning'!D$1:D$264,(160+INT(B36))))/12,0),IF(F36=0,0,H35))</f>
        <v>0</v>
      </c>
      <c r="I36" s="262">
        <f t="shared" si="1"/>
        <v>0</v>
      </c>
      <c r="J36" s="254">
        <f>IF(AND(B35&lt;59.5,OR(B36=59.5,B36&gt;59.5)),0,(J35-K35)*(1+'Retirement Planning'!$J$23/12))</f>
        <v>37802.502093929637</v>
      </c>
      <c r="K36" s="58">
        <f t="shared" si="2"/>
        <v>0</v>
      </c>
      <c r="L36" s="57">
        <f ca="1">IF(AND(OR(B36&gt;59.5,B36=59.5),B35&lt;59.5),0,(L35-M35)*(1+'Retirement Planning'!$J$23/12))</f>
        <v>998834.66889850202</v>
      </c>
      <c r="M36" s="59">
        <f ca="1">IF(AND($B$10&lt;55,B36&lt;59.5),0,IF(B36&lt;59.5,MAX(0,MIN((($Y36+$AJ36+AA36)*'Retirement Planning'!$J$44)-$G36-$X36,L36)),0))</f>
        <v>5265.9152120165254</v>
      </c>
      <c r="N36" s="57">
        <f>(N35-O35)*(1+'Retirement Planning'!$J$23/12)</f>
        <v>0</v>
      </c>
      <c r="O36" s="59">
        <f>IF(B36&gt;59.5,MAX(0,MIN((AA36+$Y36+$AJ36)*(IF(D36&lt;(MIN(E24:E35)+1),1,'Retirement Planning'!$J$44))-M36-$G36-$X36-(IF(D36&lt;(MIN(E24:E35)+1),D36,0)),N36)),0)</f>
        <v>0</v>
      </c>
      <c r="P36" s="57">
        <f t="shared" si="15"/>
        <v>26825.333333333307</v>
      </c>
      <c r="Q36" s="58">
        <f t="shared" si="16"/>
        <v>641.33333333333337</v>
      </c>
      <c r="R36" s="57">
        <f ca="1">(R35-S35-T35)*(1+'Retirement Planning'!$J$23/12)</f>
        <v>193632.57524820371</v>
      </c>
      <c r="S36" s="58">
        <f t="shared" ca="1" si="17"/>
        <v>358.33333333333337</v>
      </c>
      <c r="T36" s="273">
        <f t="shared" ca="1" si="3"/>
        <v>2.2737367544323206E-13</v>
      </c>
      <c r="U36" s="57">
        <f ca="1">(U35-V35)*(1+'Retirement Planning'!$J$23/12)</f>
        <v>178635.42033204535</v>
      </c>
      <c r="V36" s="24">
        <f ca="1">IF(AND($B$10&lt;55,B36&lt;59.5),MIN(U36,MAX(0,(Y36+AA36+AJ36-G36)*'Retirement Planning'!$J$45)),IF(B36&lt;59.5,(MIN(U36,MAX(0,((Y36+AA36+AJ36)-G36-M36)*'Retirement Planning'!$J$45))),MIN(U36,MAX(0,(Y36+AA36+AJ36-G36-M36-K36-X36)*'Retirement Planning'!$J$45))))</f>
        <v>568.19875250647419</v>
      </c>
      <c r="W36" s="7">
        <f t="shared" ca="1" si="4"/>
        <v>1624801.4280592673</v>
      </c>
      <c r="X36" s="7">
        <f>(IF(B36&gt;'Retirement Planning'!$J$34,IF('Retirement Planning'!$J$34=70,'Retirement Planning'!$J$37/12,IF('Retirement Planning'!$J$34=67,'Retirement Planning'!$J$36/12,'Retirement Planning'!$J$35/12)),0))*'Retirement Planning'!$J$38</f>
        <v>0</v>
      </c>
      <c r="Y36" s="7">
        <f ca="1">'Retirement Planning'!$F$35*((1+'Retirement Planning'!$J$24)^(YEAR('Projected Retirement Drawdown'!C36)-YEAR(TODAY())))</f>
        <v>5561.2948143518543</v>
      </c>
      <c r="Z36" s="7">
        <f ca="1">G36+M36+O36+0.85*X36+V36*'Retirement Planning'!$J$46+T36</f>
        <v>5578.4245258950859</v>
      </c>
      <c r="AA36" s="7">
        <f ca="1">IF(MONTH(C36)=1,(((MIN(MAX(0,((SUM(Z24:Z35)-'Retirement Planning'!$I$53-'Retirement Planning'!$I$54)-'Retirement Planning'!$J$51)*'Retirement Planning'!$I$52))))+(MIN(MAX(0,((SUM(Z24:Z35)-'Retirement Planning'!$I$53-'Retirement Planning'!$I$54)-'Retirement Planning'!$J$50)*'Retirement Planning'!$I$51),('Retirement Planning'!$J$51-'Retirement Planning'!$J$50)*'Retirement Planning'!$I$51))+(MIN(MAX(0,((SUM(Z24:Z35)-'Retirement Planning'!$I$53-'Retirement Planning'!$I$54)-'Retirement Planning'!$J$49)*'Retirement Planning'!$I$50),('Retirement Planning'!$J$50-'Retirement Planning'!$J$49)*'Retirement Planning'!$I$50)+MIN(MAX(0,((SUM(Z24:Z35)-'Retirement Planning'!$I$53-'Retirement Planning'!$I$54)-'Retirement Planning'!$J$48)*'Retirement Planning'!$I$49),('Retirement Planning'!$J$49-'Retirement Planning'!$J$48)*'Retirement Planning'!$I$49)+MIN(((SUM(Z24:Z35)-'Retirement Planning'!$I$53-'Retirement Planning'!$I$54))*'Retirement Planning'!$I$48,('Retirement Planning'!$J$48)*'Retirement Planning'!$I$48))+(IF((SUM(Z24:Z35)-'Retirement Planning'!$I$54-'Retirement Planning'!$I$61)&gt;'Retirement Planning'!$J$59,(SUM(Z24:Z35)-'Retirement Planning'!$I$54-'Retirement Planning'!$I$61-'Retirement Planning'!$J$59)*'Retirement Planning'!$I$60+'Retirement Planning'!$K$59,IF((SUM(Z24:Z35)-'Retirement Planning'!$I$54-'Retirement Planning'!$I$61)&gt;'Retirement Planning'!$J$58,(SUM(Z24:Z35)-'Retirement Planning'!$I$54-'Retirement Planning'!$I$61-'Retirement Planning'!$J$58)*'Retirement Planning'!$I$59+'Retirement Planning'!$K$58,IF((SUM(Z24:Z35)-'Retirement Planning'!$I$54-'Retirement Planning'!$I$61)&gt;'Retirement Planning'!$J$57,(SUM(Z24:Z35)-'Retirement Planning'!$I$54-'Retirement Planning'!$I$61-'Retirement Planning'!$J$57)*'Retirement Planning'!$I$58+'Retirement Planning'!$K$57,IF((SUM(Z24:Z35)-'Retirement Planning'!$I$54-'Retirement Planning'!$I$61)&gt;'Retirement Planning'!$J$56,(SUM(Z24:Z35)-'Retirement Planning'!$I$54-'Retirement Planning'!$I$61-'Retirement Planning'!$J$56)*'Retirement Planning'!$I$57+'Retirement Planning'!$K$56,(SUM(Z24:Z35)-'Retirement Planning'!$I$54-'Retirement Planning'!$I$61)*'Retirement Planning'!$I$56))))))/12,AA35)</f>
        <v>939.83507702657153</v>
      </c>
      <c r="AB36" s="104">
        <f t="shared" ca="1" si="19"/>
        <v>0.17390429087475556</v>
      </c>
      <c r="AC36" s="7">
        <f>IF(B36&lt;65,'Retirement Planning'!$J$28,0)</f>
        <v>583</v>
      </c>
      <c r="AD36" s="7">
        <f>IF(B36&lt;65,'Retirement Planning'!$J$29/12,0)</f>
        <v>291.66666666666669</v>
      </c>
      <c r="AE36" s="22">
        <f>'Retirement Planning'!$J$31/12</f>
        <v>58.333333333333336</v>
      </c>
      <c r="AF36" s="22">
        <f>'Retirement Planning'!$J$32/12</f>
        <v>66.666666666666671</v>
      </c>
      <c r="AG36" s="7">
        <f>IF($B36&gt;64.9,'Retirement Planning'!$J$39/12,0)</f>
        <v>0</v>
      </c>
      <c r="AH36" s="7">
        <f>IF($B36&gt;64.9,'Retirement Planning'!$J$40/12,0)</f>
        <v>0</v>
      </c>
      <c r="AI36" s="7">
        <f>IF($B36&gt;64.9,'Retirement Planning'!$J$41/12,0)</f>
        <v>0</v>
      </c>
      <c r="AJ36" s="7">
        <f t="shared" ca="1" si="6"/>
        <v>0</v>
      </c>
      <c r="AK36" s="3" t="str">
        <f t="shared" ca="1" si="7"/>
        <v>N/A</v>
      </c>
      <c r="AL36" s="6" t="str">
        <f t="shared" ca="1" si="8"/>
        <v>N/A</v>
      </c>
      <c r="AM36" s="7">
        <f t="shared" ca="1" si="9"/>
        <v>6.8212102632969618E-13</v>
      </c>
      <c r="AN36" s="7">
        <f t="shared" ca="1" si="10"/>
        <v>7500.7965580450928</v>
      </c>
      <c r="AO36" s="7">
        <f t="shared" si="11"/>
        <v>999.66666666666674</v>
      </c>
    </row>
    <row r="37" spans="1:41" x14ac:dyDescent="0.2">
      <c r="A37">
        <f t="shared" si="12"/>
        <v>0</v>
      </c>
      <c r="B37" s="5">
        <f t="shared" si="13"/>
        <v>58.5</v>
      </c>
      <c r="C37" s="56">
        <f t="shared" si="14"/>
        <v>47239</v>
      </c>
      <c r="D37" s="57">
        <f ca="1">IF(AND(B36&lt;59.5,OR(B37&gt;59.5,B37=59.5)),(D36-E36+J36-K36)*(1+'Retirement Planning'!$J$23/12),(D36-E36)*(1+'Retirement Planning'!$J$23/12))</f>
        <v>175977.72906584857</v>
      </c>
      <c r="E37" s="58">
        <f t="shared" ca="1" si="0"/>
        <v>667.01592685542619</v>
      </c>
      <c r="F37" s="57">
        <f>IF(AND(OR(B37&gt;59.5,B37=59.5),B36&lt;59.5),(F36-G36+L36-M36+N36-O36)*(1+'Retirement Planning'!$J$23/12),(F36-G36)*(1+'Retirement Planning'!$J$23/12))</f>
        <v>13760.710872153171</v>
      </c>
      <c r="G37" s="58">
        <f>IF(AND($B$10&lt;55,B37&lt;59.5),'Retirement Planning'!$J$25,IF(OR(B37&gt;59.5,B37=59.5),MAX(0,MIN(F37,IF(D37&lt;2500,((Y37+AJ37+AA37))-X37,((Y37+AJ37+AA37)*'Retirement Planning'!$J$44)-X37))),0))</f>
        <v>0</v>
      </c>
      <c r="H37" s="255">
        <f>IF(MONTH(C37)=1,IF(B37&gt;69.5,F37/(INDEX('Retirement Planning'!D$1:D$264,(160+INT(B37))))/12,0),IF(F37=0,0,H36))</f>
        <v>0</v>
      </c>
      <c r="I37" s="262">
        <f t="shared" si="1"/>
        <v>0</v>
      </c>
      <c r="J37" s="254">
        <f>IF(AND(B36&lt;59.5,OR(B37=59.5,B37&gt;59.5)),0,(J36-K36)*(1+'Retirement Planning'!$J$23/12))</f>
        <v>38070.269817094973</v>
      </c>
      <c r="K37" s="58">
        <f t="shared" si="2"/>
        <v>0</v>
      </c>
      <c r="L37" s="57">
        <f ca="1">IF(AND(OR(B37&gt;59.5,B37=59.5),B36&lt;59.5),0,(L36-M36)*(1+'Retirement Planning'!$J$23/12))</f>
        <v>1000606.5323584314</v>
      </c>
      <c r="M37" s="59">
        <f ca="1">IF(AND($B$10&lt;55,B37&lt;59.5),0,IF(B37&lt;59.5,MAX(0,MIN((($Y37+$AJ37+AA37)*'Retirement Planning'!$J$44)-$G37-$X37,L37)),0))</f>
        <v>5265.9152120165254</v>
      </c>
      <c r="N37" s="57">
        <f>(N36-O36)*(1+'Retirement Planning'!$J$23/12)</f>
        <v>0</v>
      </c>
      <c r="O37" s="59">
        <f>IF(B37&gt;59.5,MAX(0,MIN((AA37+$Y37+$AJ37)*(IF(D37&lt;(MIN(E25:E36)+1),1,'Retirement Planning'!$J$44))-M37-$G37-$X37-(IF(D37&lt;(MIN(E25:E36)+1),D37,0)),N37)),0)</f>
        <v>0</v>
      </c>
      <c r="P37" s="57">
        <f t="shared" si="15"/>
        <v>26183.999999999975</v>
      </c>
      <c r="Q37" s="58">
        <f t="shared" si="16"/>
        <v>641.33333333333337</v>
      </c>
      <c r="R37" s="57">
        <f ca="1">(R36-S36-T36)*(1+'Retirement Planning'!$J$23/12)</f>
        <v>194643.26779510069</v>
      </c>
      <c r="S37" s="58">
        <f t="shared" ca="1" si="17"/>
        <v>358.33333333333337</v>
      </c>
      <c r="T37" s="273">
        <f t="shared" ca="1" si="3"/>
        <v>2.2737367544323206E-13</v>
      </c>
      <c r="U37" s="57">
        <f ca="1">(U36-V36)*(1+'Retirement Planning'!$J$23/12)</f>
        <v>179328.53106572729</v>
      </c>
      <c r="V37" s="24">
        <f ca="1">IF(AND($B$10&lt;55,B37&lt;59.5),MIN(U37,MAX(0,(Y37+AA37+AJ37-G37)*'Retirement Planning'!$J$45)),IF(B37&lt;59.5,(MIN(U37,MAX(0,((Y37+AA37+AJ37)-G37-M37)*'Retirement Planning'!$J$45))),MIN(U37,MAX(0,(Y37+AA37+AJ37-G37-M37-K37-X37)*'Retirement Planning'!$J$45))))</f>
        <v>568.19875250647419</v>
      </c>
      <c r="W37" s="7">
        <f t="shared" ca="1" si="4"/>
        <v>1628571.040974356</v>
      </c>
      <c r="X37" s="7">
        <f>(IF(B37&gt;'Retirement Planning'!$J$34,IF('Retirement Planning'!$J$34=70,'Retirement Planning'!$J$37/12,IF('Retirement Planning'!$J$34=67,'Retirement Planning'!$J$36/12,'Retirement Planning'!$J$35/12)),0))*'Retirement Planning'!$J$38</f>
        <v>0</v>
      </c>
      <c r="Y37" s="7">
        <f ca="1">'Retirement Planning'!$F$35*((1+'Retirement Planning'!$J$24)^(YEAR('Projected Retirement Drawdown'!C37)-YEAR(TODAY())))</f>
        <v>5561.2948143518543</v>
      </c>
      <c r="Z37" s="7">
        <f ca="1">G37+M37+O37+0.85*X37+V37*'Retirement Planning'!$J$46+T37</f>
        <v>5578.4245258950859</v>
      </c>
      <c r="AA37" s="7">
        <f ca="1">IF(MONTH(C37)=1,(((MIN(MAX(0,((SUM(Z25:Z36)-'Retirement Planning'!$I$53-'Retirement Planning'!$I$54)-'Retirement Planning'!$J$51)*'Retirement Planning'!$I$52))))+(MIN(MAX(0,((SUM(Z25:Z36)-'Retirement Planning'!$I$53-'Retirement Planning'!$I$54)-'Retirement Planning'!$J$50)*'Retirement Planning'!$I$51),('Retirement Planning'!$J$51-'Retirement Planning'!$J$50)*'Retirement Planning'!$I$51))+(MIN(MAX(0,((SUM(Z25:Z36)-'Retirement Planning'!$I$53-'Retirement Planning'!$I$54)-'Retirement Planning'!$J$49)*'Retirement Planning'!$I$50),('Retirement Planning'!$J$50-'Retirement Planning'!$J$49)*'Retirement Planning'!$I$50)+MIN(MAX(0,((SUM(Z25:Z36)-'Retirement Planning'!$I$53-'Retirement Planning'!$I$54)-'Retirement Planning'!$J$48)*'Retirement Planning'!$I$49),('Retirement Planning'!$J$49-'Retirement Planning'!$J$48)*'Retirement Planning'!$I$49)+MIN(((SUM(Z25:Z36)-'Retirement Planning'!$I$53-'Retirement Planning'!$I$54))*'Retirement Planning'!$I$48,('Retirement Planning'!$J$48)*'Retirement Planning'!$I$48))+(IF((SUM(Z25:Z36)-'Retirement Planning'!$I$54-'Retirement Planning'!$I$61)&gt;'Retirement Planning'!$J$59,(SUM(Z25:Z36)-'Retirement Planning'!$I$54-'Retirement Planning'!$I$61-'Retirement Planning'!$J$59)*'Retirement Planning'!$I$60+'Retirement Planning'!$K$59,IF((SUM(Z25:Z36)-'Retirement Planning'!$I$54-'Retirement Planning'!$I$61)&gt;'Retirement Planning'!$J$58,(SUM(Z25:Z36)-'Retirement Planning'!$I$54-'Retirement Planning'!$I$61-'Retirement Planning'!$J$58)*'Retirement Planning'!$I$59+'Retirement Planning'!$K$58,IF((SUM(Z25:Z36)-'Retirement Planning'!$I$54-'Retirement Planning'!$I$61)&gt;'Retirement Planning'!$J$57,(SUM(Z25:Z36)-'Retirement Planning'!$I$54-'Retirement Planning'!$I$61-'Retirement Planning'!$J$57)*'Retirement Planning'!$I$58+'Retirement Planning'!$K$57,IF((SUM(Z25:Z36)-'Retirement Planning'!$I$54-'Retirement Planning'!$I$61)&gt;'Retirement Planning'!$J$56,(SUM(Z25:Z36)-'Retirement Planning'!$I$54-'Retirement Planning'!$I$61-'Retirement Planning'!$J$56)*'Retirement Planning'!$I$57+'Retirement Planning'!$K$56,(SUM(Z25:Z36)-'Retirement Planning'!$I$54-'Retirement Planning'!$I$61)*'Retirement Planning'!$I$56))))))/12,AA36)</f>
        <v>939.83507702657153</v>
      </c>
      <c r="AB37" s="104">
        <f t="shared" ca="1" si="19"/>
        <v>0.17390429087475556</v>
      </c>
      <c r="AC37" s="7">
        <f>IF(B37&lt;65,'Retirement Planning'!$J$28,0)</f>
        <v>583</v>
      </c>
      <c r="AD37" s="7">
        <f>IF(B37&lt;65,'Retirement Planning'!$J$29/12,0)</f>
        <v>291.66666666666669</v>
      </c>
      <c r="AE37" s="22">
        <f>'Retirement Planning'!$J$31/12</f>
        <v>58.333333333333336</v>
      </c>
      <c r="AF37" s="22">
        <f>'Retirement Planning'!$J$32/12</f>
        <v>66.666666666666671</v>
      </c>
      <c r="AG37" s="7">
        <f>IF($B37&gt;64.9,'Retirement Planning'!$J$39/12,0)</f>
        <v>0</v>
      </c>
      <c r="AH37" s="7">
        <f>IF($B37&gt;64.9,'Retirement Planning'!$J$40/12,0)</f>
        <v>0</v>
      </c>
      <c r="AI37" s="7">
        <f>IF($B37&gt;64.9,'Retirement Planning'!$J$41/12,0)</f>
        <v>0</v>
      </c>
      <c r="AJ37" s="7">
        <f t="shared" ca="1" si="6"/>
        <v>0</v>
      </c>
      <c r="AK37" s="3" t="str">
        <f t="shared" ca="1" si="7"/>
        <v>N/A</v>
      </c>
      <c r="AL37" s="6" t="str">
        <f t="shared" ca="1" si="8"/>
        <v>N/A</v>
      </c>
      <c r="AM37" s="7">
        <f t="shared" ca="1" si="9"/>
        <v>6.8212102632969618E-13</v>
      </c>
      <c r="AN37" s="7">
        <f t="shared" ca="1" si="10"/>
        <v>7500.7965580450928</v>
      </c>
      <c r="AO37" s="7">
        <f t="shared" si="11"/>
        <v>999.66666666666674</v>
      </c>
    </row>
    <row r="38" spans="1:41" x14ac:dyDescent="0.2">
      <c r="A38">
        <f t="shared" si="12"/>
        <v>0</v>
      </c>
      <c r="B38" s="5">
        <f t="shared" si="13"/>
        <v>58.6</v>
      </c>
      <c r="C38" s="56">
        <f t="shared" si="14"/>
        <v>47270</v>
      </c>
      <c r="D38" s="57">
        <f ca="1">IF(AND(B37&lt;59.5,OR(B38&gt;59.5,B38=59.5)),(D37-E37+J37-K37)*(1+'Retirement Planning'!$J$23/12),(D37-E37)*(1+'Retirement Planning'!$J$23/12))</f>
        <v>176552.49735706102</v>
      </c>
      <c r="E38" s="58">
        <f t="shared" ca="1" si="0"/>
        <v>667.01592685542619</v>
      </c>
      <c r="F38" s="57">
        <f>IF(AND(OR(B38&gt;59.5,B38=59.5),B37&lt;59.5),(F37-G37+L37-M37+N37-O37)*(1+'Retirement Planning'!$J$23/12),(F37-G37)*(1+'Retirement Planning'!$J$23/12))</f>
        <v>13858.182574164257</v>
      </c>
      <c r="G38" s="58">
        <f>IF(AND($B$10&lt;55,B38&lt;59.5),'Retirement Planning'!$J$25,IF(OR(B38&gt;59.5,B38=59.5),MAX(0,MIN(F38,IF(D38&lt;2500,((Y38+AJ38+AA38))-X38,((Y38+AJ38+AA38)*'Retirement Planning'!$J$44)-X38))),0))</f>
        <v>0</v>
      </c>
      <c r="H38" s="255">
        <f>IF(MONTH(C38)=1,IF(B38&gt;69.5,F38/(INDEX('Retirement Planning'!D$1:D$264,(160+INT(B38))))/12,0),IF(F38=0,0,H37))</f>
        <v>0</v>
      </c>
      <c r="I38" s="262">
        <f t="shared" si="1"/>
        <v>0</v>
      </c>
      <c r="J38" s="254">
        <f>IF(AND(B37&lt;59.5,OR(B38=59.5,B38&gt;59.5)),0,(J37-K37)*(1+'Retirement Planning'!$J$23/12))</f>
        <v>38339.934228299397</v>
      </c>
      <c r="K38" s="58">
        <f t="shared" si="2"/>
        <v>0</v>
      </c>
      <c r="L38" s="57">
        <f ca="1">IF(AND(OR(B38&gt;59.5,B38=59.5),B37&lt;59.5),0,(L37-M37)*(1+'Retirement Planning'!$J$23/12))</f>
        <v>1002390.9465178685</v>
      </c>
      <c r="M38" s="59">
        <f ca="1">IF(AND($B$10&lt;55,B38&lt;59.5),0,IF(B38&lt;59.5,MAX(0,MIN((($Y38+$AJ38+AA38)*'Retirement Planning'!$J$44)-$G38-$X38,L38)),0))</f>
        <v>5265.9152120165254</v>
      </c>
      <c r="N38" s="57">
        <f>(N37-O37)*(1+'Retirement Planning'!$J$23/12)</f>
        <v>0</v>
      </c>
      <c r="O38" s="59">
        <f>IF(B38&gt;59.5,MAX(0,MIN((AA38+$Y38+$AJ38)*(IF(D38&lt;(MIN(E26:E37)+1),1,'Retirement Planning'!$J$44))-M38-$G38-$X38-(IF(D38&lt;(MIN(E26:E37)+1),D38,0)),N38)),0)</f>
        <v>0</v>
      </c>
      <c r="P38" s="57">
        <f t="shared" si="15"/>
        <v>25542.666666666642</v>
      </c>
      <c r="Q38" s="58">
        <f t="shared" si="16"/>
        <v>641.33333333333337</v>
      </c>
      <c r="R38" s="57">
        <f ca="1">(R37-S37-T37)*(1+'Retirement Planning'!$J$23/12)</f>
        <v>195661.11941420488</v>
      </c>
      <c r="S38" s="58">
        <f t="shared" ca="1" si="17"/>
        <v>358.33333333333337</v>
      </c>
      <c r="T38" s="273">
        <f t="shared" ca="1" si="3"/>
        <v>2.2737367544323206E-13</v>
      </c>
      <c r="U38" s="57">
        <f ca="1">(U37-V37)*(1+'Retirement Planning'!$J$23/12)</f>
        <v>180026.5513337728</v>
      </c>
      <c r="V38" s="24">
        <f ca="1">IF(AND($B$10&lt;55,B38&lt;59.5),MIN(U38,MAX(0,(Y38+AA38+AJ38-G38)*'Retirement Planning'!$J$45)),IF(B38&lt;59.5,(MIN(U38,MAX(0,((Y38+AA38+AJ38)-G38-M38)*'Retirement Planning'!$J$45))),MIN(U38,MAX(0,(Y38+AA38+AJ38-G38-M38-K38-X38)*'Retirement Planning'!$J$45))))</f>
        <v>568.19875250647419</v>
      </c>
      <c r="W38" s="7">
        <f t="shared" ca="1" si="4"/>
        <v>1632371.8980920378</v>
      </c>
      <c r="X38" s="7">
        <f>(IF(B38&gt;'Retirement Planning'!$J$34,IF('Retirement Planning'!$J$34=70,'Retirement Planning'!$J$37/12,IF('Retirement Planning'!$J$34=67,'Retirement Planning'!$J$36/12,'Retirement Planning'!$J$35/12)),0))*'Retirement Planning'!$J$38</f>
        <v>0</v>
      </c>
      <c r="Y38" s="7">
        <f ca="1">'Retirement Planning'!$F$35*((1+'Retirement Planning'!$J$24)^(YEAR('Projected Retirement Drawdown'!C38)-YEAR(TODAY())))</f>
        <v>5561.2948143518543</v>
      </c>
      <c r="Z38" s="7">
        <f ca="1">G38+M38+O38+0.85*X38+V38*'Retirement Planning'!$J$46+T38</f>
        <v>5578.4245258950859</v>
      </c>
      <c r="AA38" s="7">
        <f ca="1">IF(MONTH(C38)=1,(((MIN(MAX(0,((SUM(Z26:Z37)-'Retirement Planning'!$I$53-'Retirement Planning'!$I$54)-'Retirement Planning'!$J$51)*'Retirement Planning'!$I$52))))+(MIN(MAX(0,((SUM(Z26:Z37)-'Retirement Planning'!$I$53-'Retirement Planning'!$I$54)-'Retirement Planning'!$J$50)*'Retirement Planning'!$I$51),('Retirement Planning'!$J$51-'Retirement Planning'!$J$50)*'Retirement Planning'!$I$51))+(MIN(MAX(0,((SUM(Z26:Z37)-'Retirement Planning'!$I$53-'Retirement Planning'!$I$54)-'Retirement Planning'!$J$49)*'Retirement Planning'!$I$50),('Retirement Planning'!$J$50-'Retirement Planning'!$J$49)*'Retirement Planning'!$I$50)+MIN(MAX(0,((SUM(Z26:Z37)-'Retirement Planning'!$I$53-'Retirement Planning'!$I$54)-'Retirement Planning'!$J$48)*'Retirement Planning'!$I$49),('Retirement Planning'!$J$49-'Retirement Planning'!$J$48)*'Retirement Planning'!$I$49)+MIN(((SUM(Z26:Z37)-'Retirement Planning'!$I$53-'Retirement Planning'!$I$54))*'Retirement Planning'!$I$48,('Retirement Planning'!$J$48)*'Retirement Planning'!$I$48))+(IF((SUM(Z26:Z37)-'Retirement Planning'!$I$54-'Retirement Planning'!$I$61)&gt;'Retirement Planning'!$J$59,(SUM(Z26:Z37)-'Retirement Planning'!$I$54-'Retirement Planning'!$I$61-'Retirement Planning'!$J$59)*'Retirement Planning'!$I$60+'Retirement Planning'!$K$59,IF((SUM(Z26:Z37)-'Retirement Planning'!$I$54-'Retirement Planning'!$I$61)&gt;'Retirement Planning'!$J$58,(SUM(Z26:Z37)-'Retirement Planning'!$I$54-'Retirement Planning'!$I$61-'Retirement Planning'!$J$58)*'Retirement Planning'!$I$59+'Retirement Planning'!$K$58,IF((SUM(Z26:Z37)-'Retirement Planning'!$I$54-'Retirement Planning'!$I$61)&gt;'Retirement Planning'!$J$57,(SUM(Z26:Z37)-'Retirement Planning'!$I$54-'Retirement Planning'!$I$61-'Retirement Planning'!$J$57)*'Retirement Planning'!$I$58+'Retirement Planning'!$K$57,IF((SUM(Z26:Z37)-'Retirement Planning'!$I$54-'Retirement Planning'!$I$61)&gt;'Retirement Planning'!$J$56,(SUM(Z26:Z37)-'Retirement Planning'!$I$54-'Retirement Planning'!$I$61-'Retirement Planning'!$J$56)*'Retirement Planning'!$I$57+'Retirement Planning'!$K$56,(SUM(Z26:Z37)-'Retirement Planning'!$I$54-'Retirement Planning'!$I$61)*'Retirement Planning'!$I$56))))))/12,AA37)</f>
        <v>939.83507702657153</v>
      </c>
      <c r="AB38" s="104">
        <f t="shared" ca="1" si="19"/>
        <v>0.17390429087475556</v>
      </c>
      <c r="AC38" s="7">
        <f>IF(B38&lt;65,'Retirement Planning'!$J$28,0)</f>
        <v>583</v>
      </c>
      <c r="AD38" s="7">
        <f>IF(B38&lt;65,'Retirement Planning'!$J$29/12,0)</f>
        <v>291.66666666666669</v>
      </c>
      <c r="AE38" s="22">
        <f>'Retirement Planning'!$J$31/12</f>
        <v>58.333333333333336</v>
      </c>
      <c r="AF38" s="22">
        <f>'Retirement Planning'!$J$32/12</f>
        <v>66.666666666666671</v>
      </c>
      <c r="AG38" s="7">
        <f>IF($B38&gt;64.9,'Retirement Planning'!$J$39/12,0)</f>
        <v>0</v>
      </c>
      <c r="AH38" s="7">
        <f>IF($B38&gt;64.9,'Retirement Planning'!$J$40/12,0)</f>
        <v>0</v>
      </c>
      <c r="AI38" s="7">
        <f>IF($B38&gt;64.9,'Retirement Planning'!$J$41/12,0)</f>
        <v>0</v>
      </c>
      <c r="AJ38" s="7">
        <f t="shared" ca="1" si="6"/>
        <v>0</v>
      </c>
      <c r="AK38" s="3" t="str">
        <f t="shared" ca="1" si="7"/>
        <v>N/A</v>
      </c>
      <c r="AL38" s="6" t="str">
        <f t="shared" ca="1" si="8"/>
        <v>N/A</v>
      </c>
      <c r="AM38" s="7">
        <f t="shared" ca="1" si="9"/>
        <v>6.8212102632969618E-13</v>
      </c>
      <c r="AN38" s="7">
        <f t="shared" ca="1" si="10"/>
        <v>7500.7965580450928</v>
      </c>
      <c r="AO38" s="7">
        <f t="shared" si="11"/>
        <v>999.66666666666674</v>
      </c>
    </row>
    <row r="39" spans="1:41" x14ac:dyDescent="0.2">
      <c r="A39">
        <f t="shared" si="12"/>
        <v>0</v>
      </c>
      <c r="B39" s="5">
        <f t="shared" si="13"/>
        <v>58.7</v>
      </c>
      <c r="C39" s="56">
        <f t="shared" si="14"/>
        <v>47300</v>
      </c>
      <c r="D39" s="57">
        <f ca="1">IF(AND(B38&lt;59.5,OR(B39&gt;59.5,B39=59.5)),(D38-E38+J38-K38)*(1+'Retirement Planning'!$J$23/12),(D38-E38)*(1+'Retirement Planning'!$J$23/12))</f>
        <v>177131.33692366956</v>
      </c>
      <c r="E39" s="58">
        <f t="shared" ca="1" si="0"/>
        <v>667.01592685542619</v>
      </c>
      <c r="F39" s="57">
        <f>IF(AND(OR(B39&gt;59.5,B39=59.5),B38&lt;59.5),(F38-G38+L38-M38+N38-O38)*(1+'Retirement Planning'!$J$23/12),(F38-G38)*(1+'Retirement Planning'!$J$23/12))</f>
        <v>13956.344700731253</v>
      </c>
      <c r="G39" s="58">
        <f>IF(AND($B$10&lt;55,B39&lt;59.5),'Retirement Planning'!$J$25,IF(OR(B39&gt;59.5,B39=59.5),MAX(0,MIN(F39,IF(D39&lt;2500,((Y39+AJ39+AA39))-X39,((Y39+AJ39+AA39)*'Retirement Planning'!$J$44)-X39))),0))</f>
        <v>0</v>
      </c>
      <c r="H39" s="255">
        <f>IF(MONTH(C39)=1,IF(B39&gt;69.5,F39/(INDEX('Retirement Planning'!D$1:D$264,(160+INT(B39))))/12,0),IF(F39=0,0,H38))</f>
        <v>0</v>
      </c>
      <c r="I39" s="262">
        <f t="shared" si="1"/>
        <v>0</v>
      </c>
      <c r="J39" s="254">
        <f>IF(AND(B38&lt;59.5,OR(B39=59.5,B39&gt;59.5)),0,(J38-K38)*(1+'Retirement Planning'!$J$23/12))</f>
        <v>38611.508762416517</v>
      </c>
      <c r="K39" s="58">
        <f t="shared" si="2"/>
        <v>0</v>
      </c>
      <c r="L39" s="57">
        <f ca="1">IF(AND(OR(B39&gt;59.5,B39=59.5),B38&lt;59.5),0,(L38-M38)*(1+'Retirement Planning'!$J$23/12))</f>
        <v>1004188.0002776018</v>
      </c>
      <c r="M39" s="59">
        <f ca="1">IF(AND($B$10&lt;55,B39&lt;59.5),0,IF(B39&lt;59.5,MAX(0,MIN((($Y39+$AJ39+AA39)*'Retirement Planning'!$J$44)-$G39-$X39,L39)),0))</f>
        <v>5265.9152120165254</v>
      </c>
      <c r="N39" s="57">
        <f>(N38-O38)*(1+'Retirement Planning'!$J$23/12)</f>
        <v>0</v>
      </c>
      <c r="O39" s="59">
        <f>IF(B39&gt;59.5,MAX(0,MIN((AA39+$Y39+$AJ39)*(IF(D39&lt;(MIN(E27:E38)+1),1,'Retirement Planning'!$J$44))-M39-$G39-$X39-(IF(D39&lt;(MIN(E27:E38)+1),D39,0)),N39)),0)</f>
        <v>0</v>
      </c>
      <c r="P39" s="57">
        <f t="shared" si="15"/>
        <v>24901.33333333331</v>
      </c>
      <c r="Q39" s="58">
        <f t="shared" si="16"/>
        <v>641.33333333333337</v>
      </c>
      <c r="R39" s="57">
        <f ca="1">(R38-S38-T38)*(1+'Retirement Planning'!$J$23/12)</f>
        <v>196686.18081561103</v>
      </c>
      <c r="S39" s="58">
        <f t="shared" ca="1" si="17"/>
        <v>358.33333333333337</v>
      </c>
      <c r="T39" s="273">
        <f t="shared" ca="1" si="3"/>
        <v>2.2737367544323206E-13</v>
      </c>
      <c r="U39" s="57">
        <f ca="1">(U38-V38)*(1+'Retirement Planning'!$J$23/12)</f>
        <v>180729.51591205032</v>
      </c>
      <c r="V39" s="24">
        <f ca="1">IF(AND($B$10&lt;55,B39&lt;59.5),MIN(U39,MAX(0,(Y39+AA39+AJ39-G39)*'Retirement Planning'!$J$45)),IF(B39&lt;59.5,(MIN(U39,MAX(0,((Y39+AA39+AJ39)-G39-M39)*'Retirement Planning'!$J$45))),MIN(U39,MAX(0,(Y39+AA39+AJ39-G39-M39-K39-X39)*'Retirement Planning'!$J$45))))</f>
        <v>568.19875250647419</v>
      </c>
      <c r="W39" s="7">
        <f t="shared" ca="1" si="4"/>
        <v>1636204.2207254136</v>
      </c>
      <c r="X39" s="7">
        <f>(IF(B39&gt;'Retirement Planning'!$J$34,IF('Retirement Planning'!$J$34=70,'Retirement Planning'!$J$37/12,IF('Retirement Planning'!$J$34=67,'Retirement Planning'!$J$36/12,'Retirement Planning'!$J$35/12)),0))*'Retirement Planning'!$J$38</f>
        <v>0</v>
      </c>
      <c r="Y39" s="7">
        <f ca="1">'Retirement Planning'!$F$35*((1+'Retirement Planning'!$J$24)^(YEAR('Projected Retirement Drawdown'!C39)-YEAR(TODAY())))</f>
        <v>5561.2948143518543</v>
      </c>
      <c r="Z39" s="7">
        <f ca="1">G39+M39+O39+0.85*X39+V39*'Retirement Planning'!$J$46+T39</f>
        <v>5578.4245258950859</v>
      </c>
      <c r="AA39" s="7">
        <f ca="1">IF(MONTH(C39)=1,(((MIN(MAX(0,((SUM(Z27:Z38)-'Retirement Planning'!$I$53-'Retirement Planning'!$I$54)-'Retirement Planning'!$J$51)*'Retirement Planning'!$I$52))))+(MIN(MAX(0,((SUM(Z27:Z38)-'Retirement Planning'!$I$53-'Retirement Planning'!$I$54)-'Retirement Planning'!$J$50)*'Retirement Planning'!$I$51),('Retirement Planning'!$J$51-'Retirement Planning'!$J$50)*'Retirement Planning'!$I$51))+(MIN(MAX(0,((SUM(Z27:Z38)-'Retirement Planning'!$I$53-'Retirement Planning'!$I$54)-'Retirement Planning'!$J$49)*'Retirement Planning'!$I$50),('Retirement Planning'!$J$50-'Retirement Planning'!$J$49)*'Retirement Planning'!$I$50)+MIN(MAX(0,((SUM(Z27:Z38)-'Retirement Planning'!$I$53-'Retirement Planning'!$I$54)-'Retirement Planning'!$J$48)*'Retirement Planning'!$I$49),('Retirement Planning'!$J$49-'Retirement Planning'!$J$48)*'Retirement Planning'!$I$49)+MIN(((SUM(Z27:Z38)-'Retirement Planning'!$I$53-'Retirement Planning'!$I$54))*'Retirement Planning'!$I$48,('Retirement Planning'!$J$48)*'Retirement Planning'!$I$48))+(IF((SUM(Z27:Z38)-'Retirement Planning'!$I$54-'Retirement Planning'!$I$61)&gt;'Retirement Planning'!$J$59,(SUM(Z27:Z38)-'Retirement Planning'!$I$54-'Retirement Planning'!$I$61-'Retirement Planning'!$J$59)*'Retirement Planning'!$I$60+'Retirement Planning'!$K$59,IF((SUM(Z27:Z38)-'Retirement Planning'!$I$54-'Retirement Planning'!$I$61)&gt;'Retirement Planning'!$J$58,(SUM(Z27:Z38)-'Retirement Planning'!$I$54-'Retirement Planning'!$I$61-'Retirement Planning'!$J$58)*'Retirement Planning'!$I$59+'Retirement Planning'!$K$58,IF((SUM(Z27:Z38)-'Retirement Planning'!$I$54-'Retirement Planning'!$I$61)&gt;'Retirement Planning'!$J$57,(SUM(Z27:Z38)-'Retirement Planning'!$I$54-'Retirement Planning'!$I$61-'Retirement Planning'!$J$57)*'Retirement Planning'!$I$58+'Retirement Planning'!$K$57,IF((SUM(Z27:Z38)-'Retirement Planning'!$I$54-'Retirement Planning'!$I$61)&gt;'Retirement Planning'!$J$56,(SUM(Z27:Z38)-'Retirement Planning'!$I$54-'Retirement Planning'!$I$61-'Retirement Planning'!$J$56)*'Retirement Planning'!$I$57+'Retirement Planning'!$K$56,(SUM(Z27:Z38)-'Retirement Planning'!$I$54-'Retirement Planning'!$I$61)*'Retirement Planning'!$I$56))))))/12,AA38)</f>
        <v>939.83507702657153</v>
      </c>
      <c r="AB39" s="104">
        <f t="shared" ca="1" si="19"/>
        <v>0.17390429087475556</v>
      </c>
      <c r="AC39" s="7">
        <f>IF(B39&lt;65,'Retirement Planning'!$J$28,0)</f>
        <v>583</v>
      </c>
      <c r="AD39" s="7">
        <f>IF(B39&lt;65,'Retirement Planning'!$J$29/12,0)</f>
        <v>291.66666666666669</v>
      </c>
      <c r="AE39" s="22">
        <f>'Retirement Planning'!$J$31/12</f>
        <v>58.333333333333336</v>
      </c>
      <c r="AF39" s="22">
        <f>'Retirement Planning'!$J$32/12</f>
        <v>66.666666666666671</v>
      </c>
      <c r="AG39" s="7">
        <f>IF($B39&gt;64.9,'Retirement Planning'!$J$39/12,0)</f>
        <v>0</v>
      </c>
      <c r="AH39" s="7">
        <f>IF($B39&gt;64.9,'Retirement Planning'!$J$40/12,0)</f>
        <v>0</v>
      </c>
      <c r="AI39" s="7">
        <f>IF($B39&gt;64.9,'Retirement Planning'!$J$41/12,0)</f>
        <v>0</v>
      </c>
      <c r="AJ39" s="7">
        <f t="shared" ca="1" si="6"/>
        <v>0</v>
      </c>
      <c r="AK39" s="3" t="str">
        <f t="shared" ca="1" si="7"/>
        <v>N/A</v>
      </c>
      <c r="AL39" s="6" t="str">
        <f t="shared" ca="1" si="8"/>
        <v>N/A</v>
      </c>
      <c r="AM39" s="7">
        <f t="shared" ca="1" si="9"/>
        <v>6.8212102632969618E-13</v>
      </c>
      <c r="AN39" s="7">
        <f t="shared" ca="1" si="10"/>
        <v>7500.7965580450928</v>
      </c>
      <c r="AO39" s="7">
        <f t="shared" si="11"/>
        <v>999.66666666666674</v>
      </c>
    </row>
    <row r="40" spans="1:41" x14ac:dyDescent="0.2">
      <c r="A40">
        <f t="shared" si="12"/>
        <v>0</v>
      </c>
      <c r="B40" s="5">
        <f t="shared" si="13"/>
        <v>58.8</v>
      </c>
      <c r="C40" s="56">
        <f t="shared" si="14"/>
        <v>47331</v>
      </c>
      <c r="D40" s="57">
        <f ca="1">IF(AND(B39&lt;59.5,OR(B40&gt;59.5,B40=59.5)),(D39-E39+J39-K39)*(1+'Retirement Planning'!$J$23/12),(D39-E39)*(1+'Retirement Planning'!$J$23/12))</f>
        <v>177714.27660387493</v>
      </c>
      <c r="E40" s="58">
        <f t="shared" ca="1" si="0"/>
        <v>667.01592685542619</v>
      </c>
      <c r="F40" s="57">
        <f>IF(AND(OR(B40&gt;59.5,B40=59.5),B39&lt;59.5),(F39-G39+L39-M39+N39-O39)*(1+'Retirement Planning'!$J$23/12),(F39-G39)*(1+'Retirement Planning'!$J$23/12))</f>
        <v>14055.202142361433</v>
      </c>
      <c r="G40" s="58">
        <f>IF(AND($B$10&lt;55,B40&lt;59.5),'Retirement Planning'!$J$25,IF(OR(B40&gt;59.5,B40=59.5),MAX(0,MIN(F40,IF(D40&lt;2500,((Y40+AJ40+AA40))-X40,((Y40+AJ40+AA40)*'Retirement Planning'!$J$44)-X40))),0))</f>
        <v>0</v>
      </c>
      <c r="H40" s="255">
        <f>IF(MONTH(C40)=1,IF(B40&gt;69.5,F40/(INDEX('Retirement Planning'!D$1:D$264,(160+INT(B40))))/12,0),IF(F40=0,0,H39))</f>
        <v>0</v>
      </c>
      <c r="I40" s="262">
        <f t="shared" si="1"/>
        <v>0</v>
      </c>
      <c r="J40" s="254">
        <f>IF(AND(B39&lt;59.5,OR(B40=59.5,B40&gt;59.5)),0,(J39-K39)*(1+'Retirement Planning'!$J$23/12))</f>
        <v>38885.006949483635</v>
      </c>
      <c r="K40" s="58">
        <f t="shared" si="2"/>
        <v>0</v>
      </c>
      <c r="L40" s="57">
        <f ca="1">IF(AND(OR(B40&gt;59.5,B40=59.5),B39&lt;59.5),0,(L39-M39)*(1+'Retirement Planning'!$J$23/12))</f>
        <v>1005997.7831681331</v>
      </c>
      <c r="M40" s="59">
        <f ca="1">IF(AND($B$10&lt;55,B40&lt;59.5),0,IF(B40&lt;59.5,MAX(0,MIN((($Y40+$AJ40+AA40)*'Retirement Planning'!$J$44)-$G40-$X40,L40)),0))</f>
        <v>5265.9152120165254</v>
      </c>
      <c r="N40" s="57">
        <f>(N39-O39)*(1+'Retirement Planning'!$J$23/12)</f>
        <v>0</v>
      </c>
      <c r="O40" s="59">
        <f>IF(B40&gt;59.5,MAX(0,MIN((AA40+$Y40+$AJ40)*(IF(D40&lt;(MIN(E28:E39)+1),1,'Retirement Planning'!$J$44))-M40-$G40-$X40-(IF(D40&lt;(MIN(E28:E39)+1),D40,0)),N40)),0)</f>
        <v>0</v>
      </c>
      <c r="P40" s="57">
        <f t="shared" si="15"/>
        <v>24259.999999999978</v>
      </c>
      <c r="Q40" s="58">
        <f t="shared" si="16"/>
        <v>641.33333333333337</v>
      </c>
      <c r="R40" s="57">
        <f ca="1">(R39-S39-T39)*(1+'Retirement Planning'!$J$23/12)</f>
        <v>197718.5030686105</v>
      </c>
      <c r="S40" s="58">
        <f t="shared" ca="1" si="17"/>
        <v>358.33333333333337</v>
      </c>
      <c r="T40" s="273">
        <f t="shared" ca="1" si="3"/>
        <v>2.2737367544323206E-13</v>
      </c>
      <c r="U40" s="57">
        <f ca="1">(U39-V39)*(1+'Retirement Planning'!$J$23/12)</f>
        <v>181437.45982275729</v>
      </c>
      <c r="V40" s="24">
        <f ca="1">IF(AND($B$10&lt;55,B40&lt;59.5),MIN(U40,MAX(0,(Y40+AA40+AJ40-G40)*'Retirement Planning'!$J$45)),IF(B40&lt;59.5,(MIN(U40,MAX(0,((Y40+AA40+AJ40)-G40-M40)*'Retirement Planning'!$J$45))),MIN(U40,MAX(0,(Y40+AA40+AJ40-G40-M40-K40-X40)*'Retirement Planning'!$J$45))))</f>
        <v>568.19875250647419</v>
      </c>
      <c r="W40" s="7">
        <f t="shared" ca="1" si="4"/>
        <v>1640068.2317552208</v>
      </c>
      <c r="X40" s="7">
        <f>(IF(B40&gt;'Retirement Planning'!$J$34,IF('Retirement Planning'!$J$34=70,'Retirement Planning'!$J$37/12,IF('Retirement Planning'!$J$34=67,'Retirement Planning'!$J$36/12,'Retirement Planning'!$J$35/12)),0))*'Retirement Planning'!$J$38</f>
        <v>0</v>
      </c>
      <c r="Y40" s="7">
        <f ca="1">'Retirement Planning'!$F$35*((1+'Retirement Planning'!$J$24)^(YEAR('Projected Retirement Drawdown'!C40)-YEAR(TODAY())))</f>
        <v>5561.2948143518543</v>
      </c>
      <c r="Z40" s="7">
        <f ca="1">G40+M40+O40+0.85*X40+V40*'Retirement Planning'!$J$46+T40</f>
        <v>5578.4245258950859</v>
      </c>
      <c r="AA40" s="7">
        <f ca="1">IF(MONTH(C40)=1,(((MIN(MAX(0,((SUM(Z28:Z39)-'Retirement Planning'!$I$53-'Retirement Planning'!$I$54)-'Retirement Planning'!$J$51)*'Retirement Planning'!$I$52))))+(MIN(MAX(0,((SUM(Z28:Z39)-'Retirement Planning'!$I$53-'Retirement Planning'!$I$54)-'Retirement Planning'!$J$50)*'Retirement Planning'!$I$51),('Retirement Planning'!$J$51-'Retirement Planning'!$J$50)*'Retirement Planning'!$I$51))+(MIN(MAX(0,((SUM(Z28:Z39)-'Retirement Planning'!$I$53-'Retirement Planning'!$I$54)-'Retirement Planning'!$J$49)*'Retirement Planning'!$I$50),('Retirement Planning'!$J$50-'Retirement Planning'!$J$49)*'Retirement Planning'!$I$50)+MIN(MAX(0,((SUM(Z28:Z39)-'Retirement Planning'!$I$53-'Retirement Planning'!$I$54)-'Retirement Planning'!$J$48)*'Retirement Planning'!$I$49),('Retirement Planning'!$J$49-'Retirement Planning'!$J$48)*'Retirement Planning'!$I$49)+MIN(((SUM(Z28:Z39)-'Retirement Planning'!$I$53-'Retirement Planning'!$I$54))*'Retirement Planning'!$I$48,('Retirement Planning'!$J$48)*'Retirement Planning'!$I$48))+(IF((SUM(Z28:Z39)-'Retirement Planning'!$I$54-'Retirement Planning'!$I$61)&gt;'Retirement Planning'!$J$59,(SUM(Z28:Z39)-'Retirement Planning'!$I$54-'Retirement Planning'!$I$61-'Retirement Planning'!$J$59)*'Retirement Planning'!$I$60+'Retirement Planning'!$K$59,IF((SUM(Z28:Z39)-'Retirement Planning'!$I$54-'Retirement Planning'!$I$61)&gt;'Retirement Planning'!$J$58,(SUM(Z28:Z39)-'Retirement Planning'!$I$54-'Retirement Planning'!$I$61-'Retirement Planning'!$J$58)*'Retirement Planning'!$I$59+'Retirement Planning'!$K$58,IF((SUM(Z28:Z39)-'Retirement Planning'!$I$54-'Retirement Planning'!$I$61)&gt;'Retirement Planning'!$J$57,(SUM(Z28:Z39)-'Retirement Planning'!$I$54-'Retirement Planning'!$I$61-'Retirement Planning'!$J$57)*'Retirement Planning'!$I$58+'Retirement Planning'!$K$57,IF((SUM(Z28:Z39)-'Retirement Planning'!$I$54-'Retirement Planning'!$I$61)&gt;'Retirement Planning'!$J$56,(SUM(Z28:Z39)-'Retirement Planning'!$I$54-'Retirement Planning'!$I$61-'Retirement Planning'!$J$56)*'Retirement Planning'!$I$57+'Retirement Planning'!$K$56,(SUM(Z28:Z39)-'Retirement Planning'!$I$54-'Retirement Planning'!$I$61)*'Retirement Planning'!$I$56))))))/12,AA39)</f>
        <v>939.83507702657153</v>
      </c>
      <c r="AB40" s="104">
        <f t="shared" ca="1" si="19"/>
        <v>0.17390429087475556</v>
      </c>
      <c r="AC40" s="7">
        <f>IF(B40&lt;65,'Retirement Planning'!$J$28,0)</f>
        <v>583</v>
      </c>
      <c r="AD40" s="7">
        <f>IF(B40&lt;65,'Retirement Planning'!$J$29/12,0)</f>
        <v>291.66666666666669</v>
      </c>
      <c r="AE40" s="22">
        <f>'Retirement Planning'!$J$31/12</f>
        <v>58.333333333333336</v>
      </c>
      <c r="AF40" s="22">
        <f>'Retirement Planning'!$J$32/12</f>
        <v>66.666666666666671</v>
      </c>
      <c r="AG40" s="7">
        <f>IF($B40&gt;64.9,'Retirement Planning'!$J$39/12,0)</f>
        <v>0</v>
      </c>
      <c r="AH40" s="7">
        <f>IF($B40&gt;64.9,'Retirement Planning'!$J$40/12,0)</f>
        <v>0</v>
      </c>
      <c r="AI40" s="7">
        <f>IF($B40&gt;64.9,'Retirement Planning'!$J$41/12,0)</f>
        <v>0</v>
      </c>
      <c r="AJ40" s="7">
        <f t="shared" ca="1" si="6"/>
        <v>0</v>
      </c>
      <c r="AK40" s="3" t="str">
        <f t="shared" ca="1" si="7"/>
        <v>N/A</v>
      </c>
      <c r="AL40" s="6" t="str">
        <f t="shared" ca="1" si="8"/>
        <v>N/A</v>
      </c>
      <c r="AM40" s="7">
        <f t="shared" ca="1" si="9"/>
        <v>6.8212102632969618E-13</v>
      </c>
      <c r="AN40" s="7">
        <f t="shared" ca="1" si="10"/>
        <v>7500.7965580450928</v>
      </c>
      <c r="AO40" s="7">
        <f t="shared" si="11"/>
        <v>999.66666666666674</v>
      </c>
    </row>
    <row r="41" spans="1:41" x14ac:dyDescent="0.2">
      <c r="A41">
        <f t="shared" si="12"/>
        <v>0</v>
      </c>
      <c r="B41" s="5">
        <f t="shared" si="13"/>
        <v>58.9</v>
      </c>
      <c r="C41" s="56">
        <f t="shared" si="14"/>
        <v>47362</v>
      </c>
      <c r="D41" s="57">
        <f ca="1">IF(AND(B40&lt;59.5,OR(B41&gt;59.5,B41=59.5)),(D40-E40+J40-K40)*(1+'Retirement Planning'!$J$23/12),(D40-E40)*(1+'Retirement Planning'!$J$23/12))</f>
        <v>178301.34544014841</v>
      </c>
      <c r="E41" s="58">
        <f t="shared" ca="1" si="0"/>
        <v>667.01592685542619</v>
      </c>
      <c r="F41" s="57">
        <f>IF(AND(OR(B41&gt;59.5,B41=59.5),B40&lt;59.5),(F40-G40+L40-M40+N40-O40)*(1+'Retirement Planning'!$J$23/12),(F40-G40)*(1+'Retirement Planning'!$J$23/12))</f>
        <v>14154.75982420316</v>
      </c>
      <c r="G41" s="58">
        <f>IF(AND($B$10&lt;55,B41&lt;59.5),'Retirement Planning'!$J$25,IF(OR(B41&gt;59.5,B41=59.5),MAX(0,MIN(F41,IF(D41&lt;2500,((Y41+AJ41+AA41))-X41,((Y41+AJ41+AA41)*'Retirement Planning'!$J$44)-X41))),0))</f>
        <v>0</v>
      </c>
      <c r="H41" s="255">
        <f>IF(MONTH(C41)=1,IF(B41&gt;69.5,F41/(INDEX('Retirement Planning'!D$1:D$264,(160+INT(B41))))/12,0),IF(F41=0,0,H40))</f>
        <v>0</v>
      </c>
      <c r="I41" s="262">
        <f t="shared" si="1"/>
        <v>0</v>
      </c>
      <c r="J41" s="254">
        <f>IF(AND(B40&lt;59.5,OR(B41=59.5,B41&gt;59.5)),0,(J40-K40)*(1+'Retirement Planning'!$J$23/12))</f>
        <v>39160.442415375808</v>
      </c>
      <c r="K41" s="58">
        <f t="shared" si="2"/>
        <v>0</v>
      </c>
      <c r="L41" s="57">
        <f ca="1">IF(AND(OR(B41&gt;59.5,B41=59.5),B40&lt;59.5),0,(L40-M40)*(1+'Retirement Planning'!$J$23/12))</f>
        <v>1007820.385354139</v>
      </c>
      <c r="M41" s="59">
        <f ca="1">IF(AND($B$10&lt;55,B41&lt;59.5),0,IF(B41&lt;59.5,MAX(0,MIN((($Y41+$AJ41+AA41)*'Retirement Planning'!$J$44)-$G41-$X41,L41)),0))</f>
        <v>5265.9152120165254</v>
      </c>
      <c r="N41" s="57">
        <f>(N40-O40)*(1+'Retirement Planning'!$J$23/12)</f>
        <v>0</v>
      </c>
      <c r="O41" s="59">
        <f>IF(B41&gt;59.5,MAX(0,MIN((AA41+$Y41+$AJ41)*(IF(D41&lt;(MIN(E29:E40)+1),1,'Retirement Planning'!$J$44))-M41-$G41-$X41-(IF(D41&lt;(MIN(E29:E40)+1),D41,0)),N41)),0)</f>
        <v>0</v>
      </c>
      <c r="P41" s="57">
        <f t="shared" si="15"/>
        <v>23618.666666666646</v>
      </c>
      <c r="Q41" s="58">
        <f t="shared" si="16"/>
        <v>641.33333333333337</v>
      </c>
      <c r="R41" s="57">
        <f ca="1">(R40-S40-T40)*(1+'Retirement Planning'!$J$23/12)</f>
        <v>198758.13760423538</v>
      </c>
      <c r="S41" s="58">
        <f t="shared" ca="1" si="17"/>
        <v>358.33333333333337</v>
      </c>
      <c r="T41" s="273">
        <f t="shared" ca="1" si="3"/>
        <v>2.2737367544323206E-13</v>
      </c>
      <c r="U41" s="57">
        <f ca="1">(U40-V40)*(1+'Retirement Planning'!$J$23/12)</f>
        <v>182150.41833616511</v>
      </c>
      <c r="V41" s="24">
        <f ca="1">IF(AND($B$10&lt;55,B41&lt;59.5),MIN(U41,MAX(0,(Y41+AA41+AJ41-G41)*'Retirement Planning'!$J$45)),IF(B41&lt;59.5,(MIN(U41,MAX(0,((Y41+AA41+AJ41)-G41-M41)*'Retirement Planning'!$J$45))),MIN(U41,MAX(0,(Y41+AA41+AJ41-G41-M41-K41-X41)*'Retirement Planning'!$J$45))))</f>
        <v>568.19875250647419</v>
      </c>
      <c r="W41" s="7">
        <f t="shared" ca="1" si="4"/>
        <v>1643964.1556409337</v>
      </c>
      <c r="X41" s="7">
        <f>(IF(B41&gt;'Retirement Planning'!$J$34,IF('Retirement Planning'!$J$34=70,'Retirement Planning'!$J$37/12,IF('Retirement Planning'!$J$34=67,'Retirement Planning'!$J$36/12,'Retirement Planning'!$J$35/12)),0))*'Retirement Planning'!$J$38</f>
        <v>0</v>
      </c>
      <c r="Y41" s="7">
        <f ca="1">'Retirement Planning'!$F$35*((1+'Retirement Planning'!$J$24)^(YEAR('Projected Retirement Drawdown'!C41)-YEAR(TODAY())))</f>
        <v>5561.2948143518543</v>
      </c>
      <c r="Z41" s="7">
        <f ca="1">G41+M41+O41+0.85*X41+V41*'Retirement Planning'!$J$46+T41</f>
        <v>5578.4245258950859</v>
      </c>
      <c r="AA41" s="7">
        <f ca="1">IF(MONTH(C41)=1,(((MIN(MAX(0,((SUM(Z29:Z40)-'Retirement Planning'!$I$53-'Retirement Planning'!$I$54)-'Retirement Planning'!$J$51)*'Retirement Planning'!$I$52))))+(MIN(MAX(0,((SUM(Z29:Z40)-'Retirement Planning'!$I$53-'Retirement Planning'!$I$54)-'Retirement Planning'!$J$50)*'Retirement Planning'!$I$51),('Retirement Planning'!$J$51-'Retirement Planning'!$J$50)*'Retirement Planning'!$I$51))+(MIN(MAX(0,((SUM(Z29:Z40)-'Retirement Planning'!$I$53-'Retirement Planning'!$I$54)-'Retirement Planning'!$J$49)*'Retirement Planning'!$I$50),('Retirement Planning'!$J$50-'Retirement Planning'!$J$49)*'Retirement Planning'!$I$50)+MIN(MAX(0,((SUM(Z29:Z40)-'Retirement Planning'!$I$53-'Retirement Planning'!$I$54)-'Retirement Planning'!$J$48)*'Retirement Planning'!$I$49),('Retirement Planning'!$J$49-'Retirement Planning'!$J$48)*'Retirement Planning'!$I$49)+MIN(((SUM(Z29:Z40)-'Retirement Planning'!$I$53-'Retirement Planning'!$I$54))*'Retirement Planning'!$I$48,('Retirement Planning'!$J$48)*'Retirement Planning'!$I$48))+(IF((SUM(Z29:Z40)-'Retirement Planning'!$I$54-'Retirement Planning'!$I$61)&gt;'Retirement Planning'!$J$59,(SUM(Z29:Z40)-'Retirement Planning'!$I$54-'Retirement Planning'!$I$61-'Retirement Planning'!$J$59)*'Retirement Planning'!$I$60+'Retirement Planning'!$K$59,IF((SUM(Z29:Z40)-'Retirement Planning'!$I$54-'Retirement Planning'!$I$61)&gt;'Retirement Planning'!$J$58,(SUM(Z29:Z40)-'Retirement Planning'!$I$54-'Retirement Planning'!$I$61-'Retirement Planning'!$J$58)*'Retirement Planning'!$I$59+'Retirement Planning'!$K$58,IF((SUM(Z29:Z40)-'Retirement Planning'!$I$54-'Retirement Planning'!$I$61)&gt;'Retirement Planning'!$J$57,(SUM(Z29:Z40)-'Retirement Planning'!$I$54-'Retirement Planning'!$I$61-'Retirement Planning'!$J$57)*'Retirement Planning'!$I$58+'Retirement Planning'!$K$57,IF((SUM(Z29:Z40)-'Retirement Planning'!$I$54-'Retirement Planning'!$I$61)&gt;'Retirement Planning'!$J$56,(SUM(Z29:Z40)-'Retirement Planning'!$I$54-'Retirement Planning'!$I$61-'Retirement Planning'!$J$56)*'Retirement Planning'!$I$57+'Retirement Planning'!$K$56,(SUM(Z29:Z40)-'Retirement Planning'!$I$54-'Retirement Planning'!$I$61)*'Retirement Planning'!$I$56))))))/12,AA40)</f>
        <v>939.83507702657153</v>
      </c>
      <c r="AB41" s="104">
        <f t="shared" ca="1" si="19"/>
        <v>0.17390429087475556</v>
      </c>
      <c r="AC41" s="7">
        <f>IF(B41&lt;65,'Retirement Planning'!$J$28,0)</f>
        <v>583</v>
      </c>
      <c r="AD41" s="7">
        <f>IF(B41&lt;65,'Retirement Planning'!$J$29/12,0)</f>
        <v>291.66666666666669</v>
      </c>
      <c r="AE41" s="22">
        <f>'Retirement Planning'!$J$31/12</f>
        <v>58.333333333333336</v>
      </c>
      <c r="AF41" s="22">
        <f>'Retirement Planning'!$J$32/12</f>
        <v>66.666666666666671</v>
      </c>
      <c r="AG41" s="7">
        <f>IF($B41&gt;64.9,'Retirement Planning'!$J$39/12,0)</f>
        <v>0</v>
      </c>
      <c r="AH41" s="7">
        <f>IF($B41&gt;64.9,'Retirement Planning'!$J$40/12,0)</f>
        <v>0</v>
      </c>
      <c r="AI41" s="7">
        <f>IF($B41&gt;64.9,'Retirement Planning'!$J$41/12,0)</f>
        <v>0</v>
      </c>
      <c r="AJ41" s="7">
        <f t="shared" ca="1" si="6"/>
        <v>0</v>
      </c>
      <c r="AK41" s="3" t="str">
        <f t="shared" ca="1" si="7"/>
        <v>N/A</v>
      </c>
      <c r="AL41" s="6" t="str">
        <f t="shared" ca="1" si="8"/>
        <v>N/A</v>
      </c>
      <c r="AM41" s="7">
        <f t="shared" ca="1" si="9"/>
        <v>6.8212102632969618E-13</v>
      </c>
      <c r="AN41" s="7">
        <f t="shared" ca="1" si="10"/>
        <v>7500.7965580450928</v>
      </c>
      <c r="AO41" s="7">
        <f t="shared" si="11"/>
        <v>999.66666666666674</v>
      </c>
    </row>
    <row r="42" spans="1:41" x14ac:dyDescent="0.2">
      <c r="A42">
        <f t="shared" si="12"/>
        <v>0</v>
      </c>
      <c r="B42" s="5">
        <f t="shared" si="13"/>
        <v>59</v>
      </c>
      <c r="C42" s="56">
        <f t="shared" si="14"/>
        <v>47392</v>
      </c>
      <c r="D42" s="57">
        <f ca="1">IF(AND(B41&lt;59.5,OR(B42&gt;59.5,B42=59.5)),(D41-E41+J41-K41)*(1+'Retirement Planning'!$J$23/12),(D41-E41)*(1+'Retirement Planning'!$J$23/12))</f>
        <v>178892.57268067883</v>
      </c>
      <c r="E42" s="58">
        <f t="shared" ca="1" si="0"/>
        <v>667.01592685542619</v>
      </c>
      <c r="F42" s="57">
        <f>IF(AND(OR(B42&gt;59.5,B42=59.5),B41&lt;59.5),(F41-G41+L41-M41+N41-O41)*(1+'Retirement Planning'!$J$23/12),(F41-G41)*(1+'Retirement Planning'!$J$23/12))</f>
        <v>14255.022706291265</v>
      </c>
      <c r="G42" s="58">
        <f>IF(AND($B$10&lt;55,B42&lt;59.5),'Retirement Planning'!$J$25,IF(OR(B42&gt;59.5,B42=59.5),MAX(0,MIN(F42,IF(D42&lt;2500,((Y42+AJ42+AA42))-X42,((Y42+AJ42+AA42)*'Retirement Planning'!$J$44)-X42))),0))</f>
        <v>0</v>
      </c>
      <c r="H42" s="255">
        <f>IF(MONTH(C42)=1,IF(B42&gt;69.5,F42/(INDEX('Retirement Planning'!D$1:D$264,(160+INT(B42))))/12,0),IF(F42=0,0,H41))</f>
        <v>0</v>
      </c>
      <c r="I42" s="262">
        <f t="shared" si="1"/>
        <v>0</v>
      </c>
      <c r="J42" s="254">
        <f>IF(AND(B41&lt;59.5,OR(B42=59.5,B42&gt;59.5)),0,(J41-K41)*(1+'Retirement Planning'!$J$23/12))</f>
        <v>39437.828882484719</v>
      </c>
      <c r="K42" s="58">
        <f t="shared" si="2"/>
        <v>0</v>
      </c>
      <c r="L42" s="57">
        <f ca="1">IF(AND(OR(B42&gt;59.5,B42=59.5),B41&lt;59.5),0,(L41-M41)*(1+'Retirement Planning'!$J$23/12))</f>
        <v>1009655.8976389625</v>
      </c>
      <c r="M42" s="59">
        <f ca="1">IF(AND($B$10&lt;55,B42&lt;59.5),0,IF(B42&lt;59.5,MAX(0,MIN((($Y42+$AJ42+AA42)*'Retirement Planning'!$J$44)-$G42-$X42,L42)),0))</f>
        <v>5265.9152120165254</v>
      </c>
      <c r="N42" s="57">
        <f>(N41-O41)*(1+'Retirement Planning'!$J$23/12)</f>
        <v>0</v>
      </c>
      <c r="O42" s="59">
        <f>IF(B42&gt;59.5,MAX(0,MIN((AA42+$Y42+$AJ42)*(IF(D42&lt;(MIN(E30:E41)+1),1,'Retirement Planning'!$J$44))-M42-$G42-$X42-(IF(D42&lt;(MIN(E30:E41)+1),D42,0)),N42)),0)</f>
        <v>0</v>
      </c>
      <c r="P42" s="57">
        <f t="shared" si="15"/>
        <v>22977.333333333314</v>
      </c>
      <c r="Q42" s="58">
        <f t="shared" si="16"/>
        <v>641.33333333333337</v>
      </c>
      <c r="R42" s="57">
        <f ca="1">(R41-S41-T41)*(1+'Retirement Planning'!$J$23/12)</f>
        <v>199805.13621782092</v>
      </c>
      <c r="S42" s="58">
        <f t="shared" ca="1" si="17"/>
        <v>358.33333333333337</v>
      </c>
      <c r="T42" s="273">
        <f t="shared" ca="1" si="3"/>
        <v>2.2737367544323206E-13</v>
      </c>
      <c r="U42" s="57">
        <f ca="1">(U41-V41)*(1+'Retirement Planning'!$J$23/12)</f>
        <v>182868.42697237624</v>
      </c>
      <c r="V42" s="24">
        <f ca="1">IF(AND($B$10&lt;55,B42&lt;59.5),MIN(U42,MAX(0,(Y42+AA42+AJ42-G42)*'Retirement Planning'!$J$45)),IF(B42&lt;59.5,(MIN(U42,MAX(0,((Y42+AA42+AJ42)-G42-M42)*'Retirement Planning'!$J$45))),MIN(U42,MAX(0,(Y42+AA42+AJ42-G42-M42-K42-X42)*'Retirement Planning'!$J$45))))</f>
        <v>568.19875250647419</v>
      </c>
      <c r="W42" s="7">
        <f t="shared" ca="1" si="4"/>
        <v>1647892.2184319478</v>
      </c>
      <c r="X42" s="7">
        <f>(IF(B42&gt;'Retirement Planning'!$J$34,IF('Retirement Planning'!$J$34=70,'Retirement Planning'!$J$37/12,IF('Retirement Planning'!$J$34=67,'Retirement Planning'!$J$36/12,'Retirement Planning'!$J$35/12)),0))*'Retirement Planning'!$J$38</f>
        <v>0</v>
      </c>
      <c r="Y42" s="7">
        <f ca="1">'Retirement Planning'!$F$35*((1+'Retirement Planning'!$J$24)^(YEAR('Projected Retirement Drawdown'!C42)-YEAR(TODAY())))</f>
        <v>5561.2948143518543</v>
      </c>
      <c r="Z42" s="7">
        <f ca="1">G42+M42+O42+0.85*X42+V42*'Retirement Planning'!$J$46+T42</f>
        <v>5578.4245258950859</v>
      </c>
      <c r="AA42" s="7">
        <f ca="1">IF(MONTH(C42)=1,(((MIN(MAX(0,((SUM(Z30:Z41)-'Retirement Planning'!$I$53-'Retirement Planning'!$I$54)-'Retirement Planning'!$J$51)*'Retirement Planning'!$I$52))))+(MIN(MAX(0,((SUM(Z30:Z41)-'Retirement Planning'!$I$53-'Retirement Planning'!$I$54)-'Retirement Planning'!$J$50)*'Retirement Planning'!$I$51),('Retirement Planning'!$J$51-'Retirement Planning'!$J$50)*'Retirement Planning'!$I$51))+(MIN(MAX(0,((SUM(Z30:Z41)-'Retirement Planning'!$I$53-'Retirement Planning'!$I$54)-'Retirement Planning'!$J$49)*'Retirement Planning'!$I$50),('Retirement Planning'!$J$50-'Retirement Planning'!$J$49)*'Retirement Planning'!$I$50)+MIN(MAX(0,((SUM(Z30:Z41)-'Retirement Planning'!$I$53-'Retirement Planning'!$I$54)-'Retirement Planning'!$J$48)*'Retirement Planning'!$I$49),('Retirement Planning'!$J$49-'Retirement Planning'!$J$48)*'Retirement Planning'!$I$49)+MIN(((SUM(Z30:Z41)-'Retirement Planning'!$I$53-'Retirement Planning'!$I$54))*'Retirement Planning'!$I$48,('Retirement Planning'!$J$48)*'Retirement Planning'!$I$48))+(IF((SUM(Z30:Z41)-'Retirement Planning'!$I$54-'Retirement Planning'!$I$61)&gt;'Retirement Planning'!$J$59,(SUM(Z30:Z41)-'Retirement Planning'!$I$54-'Retirement Planning'!$I$61-'Retirement Planning'!$J$59)*'Retirement Planning'!$I$60+'Retirement Planning'!$K$59,IF((SUM(Z30:Z41)-'Retirement Planning'!$I$54-'Retirement Planning'!$I$61)&gt;'Retirement Planning'!$J$58,(SUM(Z30:Z41)-'Retirement Planning'!$I$54-'Retirement Planning'!$I$61-'Retirement Planning'!$J$58)*'Retirement Planning'!$I$59+'Retirement Planning'!$K$58,IF((SUM(Z30:Z41)-'Retirement Planning'!$I$54-'Retirement Planning'!$I$61)&gt;'Retirement Planning'!$J$57,(SUM(Z30:Z41)-'Retirement Planning'!$I$54-'Retirement Planning'!$I$61-'Retirement Planning'!$J$57)*'Retirement Planning'!$I$58+'Retirement Planning'!$K$57,IF((SUM(Z30:Z41)-'Retirement Planning'!$I$54-'Retirement Planning'!$I$61)&gt;'Retirement Planning'!$J$56,(SUM(Z30:Z41)-'Retirement Planning'!$I$54-'Retirement Planning'!$I$61-'Retirement Planning'!$J$56)*'Retirement Planning'!$I$57+'Retirement Planning'!$K$56,(SUM(Z30:Z41)-'Retirement Planning'!$I$54-'Retirement Planning'!$I$61)*'Retirement Planning'!$I$56))))))/12,AA41)</f>
        <v>939.83507702657153</v>
      </c>
      <c r="AB42" s="104">
        <f t="shared" ca="1" si="19"/>
        <v>0.17390429087475556</v>
      </c>
      <c r="AC42" s="7">
        <f>IF(B42&lt;65,'Retirement Planning'!$J$28,0)</f>
        <v>583</v>
      </c>
      <c r="AD42" s="7">
        <f>IF(B42&lt;65,'Retirement Planning'!$J$29/12,0)</f>
        <v>291.66666666666669</v>
      </c>
      <c r="AE42" s="22">
        <f>'Retirement Planning'!$J$31/12</f>
        <v>58.333333333333336</v>
      </c>
      <c r="AF42" s="22">
        <f>'Retirement Planning'!$J$32/12</f>
        <v>66.666666666666671</v>
      </c>
      <c r="AG42" s="7">
        <f>IF($B42&gt;64.9,'Retirement Planning'!$J$39/12,0)</f>
        <v>0</v>
      </c>
      <c r="AH42" s="7">
        <f>IF($B42&gt;64.9,'Retirement Planning'!$J$40/12,0)</f>
        <v>0</v>
      </c>
      <c r="AI42" s="7">
        <f>IF($B42&gt;64.9,'Retirement Planning'!$J$41/12,0)</f>
        <v>0</v>
      </c>
      <c r="AJ42" s="7">
        <f t="shared" ca="1" si="6"/>
        <v>0</v>
      </c>
      <c r="AK42" s="3" t="str">
        <f t="shared" ca="1" si="7"/>
        <v>N/A</v>
      </c>
      <c r="AL42" s="6" t="str">
        <f t="shared" ca="1" si="8"/>
        <v>N/A</v>
      </c>
      <c r="AM42" s="7">
        <f t="shared" ca="1" si="9"/>
        <v>6.8212102632969618E-13</v>
      </c>
      <c r="AN42" s="7">
        <f t="shared" ca="1" si="10"/>
        <v>7500.7965580450928</v>
      </c>
      <c r="AO42" s="7">
        <f t="shared" si="11"/>
        <v>999.66666666666674</v>
      </c>
    </row>
    <row r="43" spans="1:41" x14ac:dyDescent="0.2">
      <c r="A43">
        <f t="shared" si="12"/>
        <v>0</v>
      </c>
      <c r="B43" s="5">
        <f t="shared" si="13"/>
        <v>59</v>
      </c>
      <c r="C43" s="56">
        <f t="shared" si="14"/>
        <v>47423</v>
      </c>
      <c r="D43" s="57">
        <f ca="1">IF(AND(B42&lt;59.5,OR(B43&gt;59.5,B43=59.5)),(D42-E42+J42-K42)*(1+'Retirement Planning'!$J$23/12),(D42-E42)*(1+'Retirement Planning'!$J$23/12))</f>
        <v>179487.98778082966</v>
      </c>
      <c r="E43" s="58">
        <f t="shared" ca="1" si="0"/>
        <v>667.01592685542619</v>
      </c>
      <c r="F43" s="57">
        <f>IF(AND(OR(B43&gt;59.5,B43=59.5),B42&lt;59.5),(F42-G42+L42-M42+N42-O42)*(1+'Retirement Planning'!$J$23/12),(F42-G42)*(1+'Retirement Planning'!$J$23/12))</f>
        <v>14355.995783794162</v>
      </c>
      <c r="G43" s="58">
        <f>IF(AND($B$10&lt;55,B43&lt;59.5),'Retirement Planning'!$J$25,IF(OR(B43&gt;59.5,B43=59.5),MAX(0,MIN(F43,IF(D43&lt;2500,((Y43+AJ43+AA43))-X43,((Y43+AJ43+AA43)*'Retirement Planning'!$J$44)-X43))),0))</f>
        <v>0</v>
      </c>
      <c r="H43" s="255">
        <f>IF(MONTH(C43)=1,IF(B43&gt;69.5,F43/(INDEX('Retirement Planning'!D$1:D$264,(160+INT(B43))))/12,0),IF(F43=0,0,H42))</f>
        <v>0</v>
      </c>
      <c r="I43" s="262">
        <f t="shared" si="1"/>
        <v>0</v>
      </c>
      <c r="J43" s="254">
        <f>IF(AND(B42&lt;59.5,OR(B43=59.5,B43&gt;59.5)),0,(J42-K42)*(1+'Retirement Planning'!$J$23/12))</f>
        <v>39717.180170402316</v>
      </c>
      <c r="K43" s="58">
        <f t="shared" si="2"/>
        <v>0</v>
      </c>
      <c r="L43" s="57">
        <f ca="1">IF(AND(OR(B43&gt;59.5,B43=59.5),B42&lt;59.5),0,(L42-M42)*(1+'Retirement Planning'!$J$23/12))</f>
        <v>1011504.4114691368</v>
      </c>
      <c r="M43" s="59">
        <f ca="1">IF(AND($B$10&lt;55,B43&lt;59.5),0,IF(B43&lt;59.5,MAX(0,MIN((($Y43+$AJ43+AA43)*'Retirement Planning'!$J$44)-$G43-$X43,L43)),0))</f>
        <v>5265.9152120165254</v>
      </c>
      <c r="N43" s="57">
        <f>(N42-O42)*(1+'Retirement Planning'!$J$23/12)</f>
        <v>0</v>
      </c>
      <c r="O43" s="59">
        <f>IF(B43&gt;59.5,MAX(0,MIN((AA43+$Y43+$AJ43)*(IF(D43&lt;(MIN(E31:E42)+1),1,'Retirement Planning'!$J$44))-M43-$G43-$X43-(IF(D43&lt;(MIN(E31:E42)+1),D43,0)),N43)),0)</f>
        <v>0</v>
      </c>
      <c r="P43" s="57">
        <f t="shared" si="15"/>
        <v>22335.999999999982</v>
      </c>
      <c r="Q43" s="58">
        <f t="shared" si="16"/>
        <v>641.33333333333337</v>
      </c>
      <c r="R43" s="57">
        <f ca="1">(R42-S42-T42)*(1+'Retirement Planning'!$J$23/12)</f>
        <v>200859.55107158603</v>
      </c>
      <c r="S43" s="58">
        <f t="shared" ca="1" si="17"/>
        <v>358.33333333333337</v>
      </c>
      <c r="T43" s="273">
        <f t="shared" ca="1" si="3"/>
        <v>2.2737367544323206E-13</v>
      </c>
      <c r="U43" s="57">
        <f ca="1">(U42-V42)*(1+'Retirement Planning'!$J$23/12)</f>
        <v>183591.52150309386</v>
      </c>
      <c r="V43" s="24">
        <f ca="1">IF(AND($B$10&lt;55,B43&lt;59.5),MIN(U43,MAX(0,(Y43+AA43+AJ43-G43)*'Retirement Planning'!$J$45)),IF(B43&lt;59.5,(MIN(U43,MAX(0,((Y43+AA43+AJ43)-G43-M43)*'Retirement Planning'!$J$45))),MIN(U43,MAX(0,(Y43+AA43+AJ43-G43-M43-K43-X43)*'Retirement Planning'!$J$45))))</f>
        <v>568.19875250647419</v>
      </c>
      <c r="W43" s="7">
        <f t="shared" ca="1" si="4"/>
        <v>1651852.6477788428</v>
      </c>
      <c r="X43" s="7">
        <f>(IF(B43&gt;'Retirement Planning'!$J$34,IF('Retirement Planning'!$J$34=70,'Retirement Planning'!$J$37/12,IF('Retirement Planning'!$J$34=67,'Retirement Planning'!$J$36/12,'Retirement Planning'!$J$35/12)),0))*'Retirement Planning'!$J$38</f>
        <v>0</v>
      </c>
      <c r="Y43" s="7">
        <f ca="1">'Retirement Planning'!$F$35*((1+'Retirement Planning'!$J$24)^(YEAR('Projected Retirement Drawdown'!C43)-YEAR(TODAY())))</f>
        <v>5561.2948143518543</v>
      </c>
      <c r="Z43" s="7">
        <f ca="1">G43+M43+O43+0.85*X43+V43*'Retirement Planning'!$J$46+T43</f>
        <v>5578.4245258950859</v>
      </c>
      <c r="AA43" s="7">
        <f ca="1">IF(MONTH(C43)=1,(((MIN(MAX(0,((SUM(Z31:Z42)-'Retirement Planning'!$I$53-'Retirement Planning'!$I$54)-'Retirement Planning'!$J$51)*'Retirement Planning'!$I$52))))+(MIN(MAX(0,((SUM(Z31:Z42)-'Retirement Planning'!$I$53-'Retirement Planning'!$I$54)-'Retirement Planning'!$J$50)*'Retirement Planning'!$I$51),('Retirement Planning'!$J$51-'Retirement Planning'!$J$50)*'Retirement Planning'!$I$51))+(MIN(MAX(0,((SUM(Z31:Z42)-'Retirement Planning'!$I$53-'Retirement Planning'!$I$54)-'Retirement Planning'!$J$49)*'Retirement Planning'!$I$50),('Retirement Planning'!$J$50-'Retirement Planning'!$J$49)*'Retirement Planning'!$I$50)+MIN(MAX(0,((SUM(Z31:Z42)-'Retirement Planning'!$I$53-'Retirement Planning'!$I$54)-'Retirement Planning'!$J$48)*'Retirement Planning'!$I$49),('Retirement Planning'!$J$49-'Retirement Planning'!$J$48)*'Retirement Planning'!$I$49)+MIN(((SUM(Z31:Z42)-'Retirement Planning'!$I$53-'Retirement Planning'!$I$54))*'Retirement Planning'!$I$48,('Retirement Planning'!$J$48)*'Retirement Planning'!$I$48))+(IF((SUM(Z31:Z42)-'Retirement Planning'!$I$54-'Retirement Planning'!$I$61)&gt;'Retirement Planning'!$J$59,(SUM(Z31:Z42)-'Retirement Planning'!$I$54-'Retirement Planning'!$I$61-'Retirement Planning'!$J$59)*'Retirement Planning'!$I$60+'Retirement Planning'!$K$59,IF((SUM(Z31:Z42)-'Retirement Planning'!$I$54-'Retirement Planning'!$I$61)&gt;'Retirement Planning'!$J$58,(SUM(Z31:Z42)-'Retirement Planning'!$I$54-'Retirement Planning'!$I$61-'Retirement Planning'!$J$58)*'Retirement Planning'!$I$59+'Retirement Planning'!$K$58,IF((SUM(Z31:Z42)-'Retirement Planning'!$I$54-'Retirement Planning'!$I$61)&gt;'Retirement Planning'!$J$57,(SUM(Z31:Z42)-'Retirement Planning'!$I$54-'Retirement Planning'!$I$61-'Retirement Planning'!$J$57)*'Retirement Planning'!$I$58+'Retirement Planning'!$K$57,IF((SUM(Z31:Z42)-'Retirement Planning'!$I$54-'Retirement Planning'!$I$61)&gt;'Retirement Planning'!$J$56,(SUM(Z31:Z42)-'Retirement Planning'!$I$54-'Retirement Planning'!$I$61-'Retirement Planning'!$J$56)*'Retirement Planning'!$I$57+'Retirement Planning'!$K$56,(SUM(Z31:Z42)-'Retirement Planning'!$I$54-'Retirement Planning'!$I$61)*'Retirement Planning'!$I$56))))))/12,AA42)</f>
        <v>939.83507702657153</v>
      </c>
      <c r="AB43" s="104">
        <f t="shared" ca="1" si="19"/>
        <v>0.17390429087475556</v>
      </c>
      <c r="AC43" s="7">
        <f>IF(B43&lt;65,'Retirement Planning'!$J$28,0)</f>
        <v>583</v>
      </c>
      <c r="AD43" s="7">
        <f>IF(B43&lt;65,'Retirement Planning'!$J$29/12,0)</f>
        <v>291.66666666666669</v>
      </c>
      <c r="AE43" s="22">
        <f>'Retirement Planning'!$J$31/12</f>
        <v>58.333333333333336</v>
      </c>
      <c r="AF43" s="22">
        <f>'Retirement Planning'!$J$32/12</f>
        <v>66.666666666666671</v>
      </c>
      <c r="AG43" s="7">
        <f>IF($B43&gt;64.9,'Retirement Planning'!$J$39/12,0)</f>
        <v>0</v>
      </c>
      <c r="AH43" s="7">
        <f>IF($B43&gt;64.9,'Retirement Planning'!$J$40/12,0)</f>
        <v>0</v>
      </c>
      <c r="AI43" s="7">
        <f>IF($B43&gt;64.9,'Retirement Planning'!$J$41/12,0)</f>
        <v>0</v>
      </c>
      <c r="AJ43" s="7">
        <f t="shared" ca="1" si="6"/>
        <v>0</v>
      </c>
      <c r="AK43" s="3" t="str">
        <f t="shared" ca="1" si="7"/>
        <v>N/A</v>
      </c>
      <c r="AL43" s="6" t="str">
        <f t="shared" ca="1" si="8"/>
        <v>N/A</v>
      </c>
      <c r="AM43" s="7">
        <f t="shared" ca="1" si="9"/>
        <v>6.8212102632969618E-13</v>
      </c>
      <c r="AN43" s="7">
        <f t="shared" ca="1" si="10"/>
        <v>7500.7965580450928</v>
      </c>
      <c r="AO43" s="7">
        <f t="shared" si="11"/>
        <v>999.66666666666674</v>
      </c>
    </row>
    <row r="44" spans="1:41" x14ac:dyDescent="0.2">
      <c r="A44">
        <f t="shared" si="12"/>
        <v>0</v>
      </c>
      <c r="B44" s="5">
        <f t="shared" si="13"/>
        <v>59.1</v>
      </c>
      <c r="C44" s="56">
        <f t="shared" si="14"/>
        <v>47453</v>
      </c>
      <c r="D44" s="57">
        <f ca="1">IF(AND(B43&lt;59.5,OR(B44&gt;59.5,B44=59.5)),(D43-E43+J43-K43)*(1+'Retirement Planning'!$J$23/12),(D43-E43)*(1+'Retirement Planning'!$J$23/12))</f>
        <v>180087.62040460657</v>
      </c>
      <c r="E44" s="58">
        <f t="shared" ca="1" si="0"/>
        <v>667.01592685542619</v>
      </c>
      <c r="F44" s="57">
        <f>IF(AND(OR(B44&gt;59.5,B44=59.5),B43&lt;59.5),(F43-G43+L43-M43+N43-O43)*(1+'Retirement Planning'!$J$23/12),(F43-G43)*(1+'Retirement Planning'!$J$23/12))</f>
        <v>14457.684087262704</v>
      </c>
      <c r="G44" s="58">
        <f>IF(AND($B$10&lt;55,B44&lt;59.5),'Retirement Planning'!$J$25,IF(OR(B44&gt;59.5,B44=59.5),MAX(0,MIN(F44,IF(D44&lt;2500,((Y44+AJ44+AA44))-X44,((Y44+AJ44+AA44)*'Retirement Planning'!$J$44)-X44))),0))</f>
        <v>0</v>
      </c>
      <c r="H44" s="255">
        <f>IF(MONTH(C44)=1,IF(B44&gt;69.5,F44/(INDEX('Retirement Planning'!D$1:D$264,(160+INT(B44))))/12,0),IF(F44=0,0,H43))</f>
        <v>0</v>
      </c>
      <c r="I44" s="262">
        <f t="shared" si="1"/>
        <v>0</v>
      </c>
      <c r="J44" s="254">
        <f>IF(AND(B43&lt;59.5,OR(B44=59.5,B44&gt;59.5)),0,(J43-K43)*(1+'Retirement Planning'!$J$23/12))</f>
        <v>39998.510196609335</v>
      </c>
      <c r="K44" s="58">
        <f t="shared" si="2"/>
        <v>0</v>
      </c>
      <c r="L44" s="57">
        <f ca="1">IF(AND(OR(B44&gt;59.5,B44=59.5),B43&lt;59.5),0,(L43-M43)*(1+'Retirement Planning'!$J$23/12))</f>
        <v>1013366.0189389415</v>
      </c>
      <c r="M44" s="59">
        <f ca="1">IF(AND($B$10&lt;55,B44&lt;59.5),0,IF(B44&lt;59.5,MAX(0,MIN((($Y44+$AJ44+AA44)*'Retirement Planning'!$J$44)-$G44-$X44,L44)),0))</f>
        <v>5265.9152120165254</v>
      </c>
      <c r="N44" s="57">
        <f>(N43-O43)*(1+'Retirement Planning'!$J$23/12)</f>
        <v>0</v>
      </c>
      <c r="O44" s="59">
        <f>IF(B44&gt;59.5,MAX(0,MIN((AA44+$Y44+$AJ44)*(IF(D44&lt;(MIN(E32:E43)+1),1,'Retirement Planning'!$J$44))-M44-$G44-$X44-(IF(D44&lt;(MIN(E32:E43)+1),D44,0)),N44)),0)</f>
        <v>0</v>
      </c>
      <c r="P44" s="57">
        <f t="shared" si="15"/>
        <v>21694.66666666665</v>
      </c>
      <c r="Q44" s="58">
        <f t="shared" si="16"/>
        <v>641.33333333333337</v>
      </c>
      <c r="R44" s="57">
        <f ca="1">(R43-S43-T43)*(1+'Retirement Planning'!$J$23/12)</f>
        <v>201921.43469723198</v>
      </c>
      <c r="S44" s="58">
        <f t="shared" ca="1" si="17"/>
        <v>358.33333333333337</v>
      </c>
      <c r="T44" s="273">
        <f t="shared" ca="1" si="3"/>
        <v>2.2737367544323206E-13</v>
      </c>
      <c r="U44" s="57">
        <f ca="1">(U43-V43)*(1+'Retirement Planning'!$J$23/12)</f>
        <v>184319.73795340405</v>
      </c>
      <c r="V44" s="24">
        <f ca="1">IF(AND($B$10&lt;55,B44&lt;59.5),MIN(U44,MAX(0,(Y44+AA44+AJ44-G44)*'Retirement Planning'!$J$45)),IF(B44&lt;59.5,(MIN(U44,MAX(0,((Y44+AA44+AJ44)-G44-M44)*'Retirement Planning'!$J$45))),MIN(U44,MAX(0,(Y44+AA44+AJ44-G44-M44-K44-X44)*'Retirement Planning'!$J$45))))</f>
        <v>568.19875250647419</v>
      </c>
      <c r="W44" s="7">
        <f t="shared" ca="1" si="4"/>
        <v>1655845.6729447227</v>
      </c>
      <c r="X44" s="7">
        <f>(IF(B44&gt;'Retirement Planning'!$J$34,IF('Retirement Planning'!$J$34=70,'Retirement Planning'!$J$37/12,IF('Retirement Planning'!$J$34=67,'Retirement Planning'!$J$36/12,'Retirement Planning'!$J$35/12)),0))*'Retirement Planning'!$J$38</f>
        <v>0</v>
      </c>
      <c r="Y44" s="7">
        <f ca="1">'Retirement Planning'!$F$35*((1+'Retirement Planning'!$J$24)^(YEAR('Projected Retirement Drawdown'!C44)-YEAR(TODAY())))</f>
        <v>5561.2948143518543</v>
      </c>
      <c r="Z44" s="7">
        <f ca="1">G44+M44+O44+0.85*X44+V44*'Retirement Planning'!$J$46+T44</f>
        <v>5578.4245258950859</v>
      </c>
      <c r="AA44" s="7">
        <f ca="1">IF(MONTH(C44)=1,(((MIN(MAX(0,((SUM(Z32:Z43)-'Retirement Planning'!$I$53-'Retirement Planning'!$I$54)-'Retirement Planning'!$J$51)*'Retirement Planning'!$I$52))))+(MIN(MAX(0,((SUM(Z32:Z43)-'Retirement Planning'!$I$53-'Retirement Planning'!$I$54)-'Retirement Planning'!$J$50)*'Retirement Planning'!$I$51),('Retirement Planning'!$J$51-'Retirement Planning'!$J$50)*'Retirement Planning'!$I$51))+(MIN(MAX(0,((SUM(Z32:Z43)-'Retirement Planning'!$I$53-'Retirement Planning'!$I$54)-'Retirement Planning'!$J$49)*'Retirement Planning'!$I$50),('Retirement Planning'!$J$50-'Retirement Planning'!$J$49)*'Retirement Planning'!$I$50)+MIN(MAX(0,((SUM(Z32:Z43)-'Retirement Planning'!$I$53-'Retirement Planning'!$I$54)-'Retirement Planning'!$J$48)*'Retirement Planning'!$I$49),('Retirement Planning'!$J$49-'Retirement Planning'!$J$48)*'Retirement Planning'!$I$49)+MIN(((SUM(Z32:Z43)-'Retirement Planning'!$I$53-'Retirement Planning'!$I$54))*'Retirement Planning'!$I$48,('Retirement Planning'!$J$48)*'Retirement Planning'!$I$48))+(IF((SUM(Z32:Z43)-'Retirement Planning'!$I$54-'Retirement Planning'!$I$61)&gt;'Retirement Planning'!$J$59,(SUM(Z32:Z43)-'Retirement Planning'!$I$54-'Retirement Planning'!$I$61-'Retirement Planning'!$J$59)*'Retirement Planning'!$I$60+'Retirement Planning'!$K$59,IF((SUM(Z32:Z43)-'Retirement Planning'!$I$54-'Retirement Planning'!$I$61)&gt;'Retirement Planning'!$J$58,(SUM(Z32:Z43)-'Retirement Planning'!$I$54-'Retirement Planning'!$I$61-'Retirement Planning'!$J$58)*'Retirement Planning'!$I$59+'Retirement Planning'!$K$58,IF((SUM(Z32:Z43)-'Retirement Planning'!$I$54-'Retirement Planning'!$I$61)&gt;'Retirement Planning'!$J$57,(SUM(Z32:Z43)-'Retirement Planning'!$I$54-'Retirement Planning'!$I$61-'Retirement Planning'!$J$57)*'Retirement Planning'!$I$58+'Retirement Planning'!$K$57,IF((SUM(Z32:Z43)-'Retirement Planning'!$I$54-'Retirement Planning'!$I$61)&gt;'Retirement Planning'!$J$56,(SUM(Z32:Z43)-'Retirement Planning'!$I$54-'Retirement Planning'!$I$61-'Retirement Planning'!$J$56)*'Retirement Planning'!$I$57+'Retirement Planning'!$K$56,(SUM(Z32:Z43)-'Retirement Planning'!$I$54-'Retirement Planning'!$I$61)*'Retirement Planning'!$I$56))))))/12,AA43)</f>
        <v>939.83507702657153</v>
      </c>
      <c r="AB44" s="104">
        <f t="shared" ca="1" si="19"/>
        <v>0.17390429087475556</v>
      </c>
      <c r="AC44" s="7">
        <f>IF(B44&lt;65,'Retirement Planning'!$J$28,0)</f>
        <v>583</v>
      </c>
      <c r="AD44" s="7">
        <f>IF(B44&lt;65,'Retirement Planning'!$J$29/12,0)</f>
        <v>291.66666666666669</v>
      </c>
      <c r="AE44" s="22">
        <f>'Retirement Planning'!$J$31/12</f>
        <v>58.333333333333336</v>
      </c>
      <c r="AF44" s="22">
        <f>'Retirement Planning'!$J$32/12</f>
        <v>66.666666666666671</v>
      </c>
      <c r="AG44" s="7">
        <f>IF($B44&gt;64.9,'Retirement Planning'!$J$39/12,0)</f>
        <v>0</v>
      </c>
      <c r="AH44" s="7">
        <f>IF($B44&gt;64.9,'Retirement Planning'!$J$40/12,0)</f>
        <v>0</v>
      </c>
      <c r="AI44" s="7">
        <f>IF($B44&gt;64.9,'Retirement Planning'!$J$41/12,0)</f>
        <v>0</v>
      </c>
      <c r="AJ44" s="7">
        <f t="shared" ca="1" si="6"/>
        <v>0</v>
      </c>
      <c r="AK44" s="3" t="str">
        <f t="shared" ca="1" si="7"/>
        <v>N/A</v>
      </c>
      <c r="AL44" s="6" t="str">
        <f t="shared" ca="1" si="8"/>
        <v>N/A</v>
      </c>
      <c r="AM44" s="7">
        <f t="shared" ca="1" si="9"/>
        <v>6.8212102632969618E-13</v>
      </c>
      <c r="AN44" s="7">
        <f t="shared" ca="1" si="10"/>
        <v>7500.7965580450928</v>
      </c>
      <c r="AO44" s="7">
        <f t="shared" si="11"/>
        <v>999.66666666666674</v>
      </c>
    </row>
    <row r="45" spans="1:41" x14ac:dyDescent="0.2">
      <c r="A45">
        <f t="shared" si="12"/>
        <v>0</v>
      </c>
      <c r="B45" s="5">
        <f t="shared" si="13"/>
        <v>59.2</v>
      </c>
      <c r="C45" s="56">
        <f t="shared" si="14"/>
        <v>47484</v>
      </c>
      <c r="D45" s="57">
        <f ca="1">IF(AND(B44&lt;59.5,OR(B45&gt;59.5,B45=59.5)),(D44-E44+J44-K44)*(1+'Retirement Planning'!$J$23/12),(D44-E44)*(1+'Retirement Planning'!$J$23/12))</f>
        <v>180691.50042613523</v>
      </c>
      <c r="E45" s="58">
        <f t="shared" ca="1" si="0"/>
        <v>692.20960372957597</v>
      </c>
      <c r="F45" s="57">
        <f>IF(AND(OR(B45&gt;59.5,B45=59.5),B44&lt;59.5),(F44-G44+L44-M44+N44-O44)*(1+'Retirement Planning'!$J$23/12),(F44-G44)*(1+'Retirement Planning'!$J$23/12))</f>
        <v>14560.092682880815</v>
      </c>
      <c r="G45" s="58">
        <f>IF(AND($B$10&lt;55,B45&lt;59.5),'Retirement Planning'!$J$25,IF(OR(B45&gt;59.5,B45=59.5),MAX(0,MIN(F45,IF(D45&lt;2500,((Y45+AJ45+AA45))-X45,((Y45+AJ45+AA45)*'Retirement Planning'!$J$44)-X45))),0))</f>
        <v>0</v>
      </c>
      <c r="H45" s="255">
        <f>IF(MONTH(C45)=1,IF(B45&gt;69.5,F45/(INDEX('Retirement Planning'!D$1:D$264,(160+INT(B45))))/12,0),IF(F45=0,0,H44))</f>
        <v>0</v>
      </c>
      <c r="I45" s="262">
        <f t="shared" si="1"/>
        <v>0</v>
      </c>
      <c r="J45" s="254">
        <f>IF(AND(B44&lt;59.5,OR(B45=59.5,B45&gt;59.5)),0,(J44-K44)*(1+'Retirement Planning'!$J$23/12))</f>
        <v>40281.832977168648</v>
      </c>
      <c r="K45" s="58">
        <f t="shared" si="2"/>
        <v>0</v>
      </c>
      <c r="L45" s="57">
        <f ca="1">IF(AND(OR(B45&gt;59.5,B45=59.5),B44&lt;59.5),0,(L44-M44)*(1+'Retirement Planning'!$J$23/12))</f>
        <v>1015240.8127949907</v>
      </c>
      <c r="M45" s="59">
        <f ca="1">IF(AND($B$10&lt;55,B45&lt;59.5),0,IF(B45&lt;59.5,MAX(0,MIN((($Y45+$AJ45+AA45)*'Retirement Planning'!$J$44)-$G45-$X45,L45)),0))</f>
        <v>5464.8126610229729</v>
      </c>
      <c r="N45" s="57">
        <f>(N44-O44)*(1+'Retirement Planning'!$J$23/12)</f>
        <v>0</v>
      </c>
      <c r="O45" s="59">
        <f>IF(B45&gt;59.5,MAX(0,MIN((AA45+$Y45+$AJ45)*(IF(D45&lt;(MIN(E33:E44)+1),1,'Retirement Planning'!$J$44))-M45-$G45-$X45-(IF(D45&lt;(MIN(E33:E44)+1),D45,0)),N45)),0)</f>
        <v>0</v>
      </c>
      <c r="P45" s="57">
        <f t="shared" si="15"/>
        <v>21053.333333333318</v>
      </c>
      <c r="Q45" s="58">
        <f t="shared" si="16"/>
        <v>641.33333333333337</v>
      </c>
      <c r="R45" s="57">
        <f ca="1">(R44-S44-T44)*(1+'Retirement Planning'!$J$23/12)</f>
        <v>202990.83999855959</v>
      </c>
      <c r="S45" s="58">
        <f t="shared" ca="1" si="17"/>
        <v>358.33333333333337</v>
      </c>
      <c r="T45" s="273">
        <f t="shared" ca="1" si="3"/>
        <v>3.4106051316484809E-13</v>
      </c>
      <c r="U45" s="57">
        <f ca="1">(U44-V44)*(1+'Retirement Planning'!$J$23/12)</f>
        <v>185053.11260357063</v>
      </c>
      <c r="V45" s="24">
        <f ca="1">IF(AND($B$10&lt;55,B45&lt;59.5),MIN(U45,MAX(0,(Y45+AA45+AJ45-G45)*'Retirement Planning'!$J$45)),IF(B45&lt;59.5,(MIN(U45,MAX(0,((Y45+AA45+AJ45)-G45-M45)*'Retirement Planning'!$J$45))),MIN(U45,MAX(0,(Y45+AA45+AJ45-G45-M45-K45-X45)*'Retirement Planning'!$J$45))))</f>
        <v>589.66003280667599</v>
      </c>
      <c r="W45" s="7">
        <f t="shared" ca="1" si="4"/>
        <v>1659871.5248166388</v>
      </c>
      <c r="X45" s="7">
        <f>(IF(B45&gt;'Retirement Planning'!$J$34,IF('Retirement Planning'!$J$34=70,'Retirement Planning'!$J$37/12,IF('Retirement Planning'!$J$34=67,'Retirement Planning'!$J$36/12,'Retirement Planning'!$J$35/12)),0))*'Retirement Planning'!$J$38</f>
        <v>0</v>
      </c>
      <c r="Y45" s="7">
        <f ca="1">'Retirement Planning'!$F$35*((1+'Retirement Planning'!$J$24)^(YEAR('Projected Retirement Drawdown'!C45)-YEAR(TODAY())))</f>
        <v>5755.940132854169</v>
      </c>
      <c r="Z45" s="7">
        <f ca="1">G45+M45+O45+0.85*X45+V45*'Retirement Planning'!$J$46+T45</f>
        <v>5789.1256790666448</v>
      </c>
      <c r="AA45" s="7">
        <f ca="1">IF(MONTH(C45)=1,(((MIN(MAX(0,((SUM(Z33:Z44)-'Retirement Planning'!$I$53-'Retirement Planning'!$I$54)-'Retirement Planning'!$J$51)*'Retirement Planning'!$I$52))))+(MIN(MAX(0,((SUM(Z33:Z44)-'Retirement Planning'!$I$53-'Retirement Planning'!$I$54)-'Retirement Planning'!$J$50)*'Retirement Planning'!$I$51),('Retirement Planning'!$J$51-'Retirement Planning'!$J$50)*'Retirement Planning'!$I$51))+(MIN(MAX(0,((SUM(Z33:Z44)-'Retirement Planning'!$I$53-'Retirement Planning'!$I$54)-'Retirement Planning'!$J$49)*'Retirement Planning'!$I$50),('Retirement Planning'!$J$50-'Retirement Planning'!$J$49)*'Retirement Planning'!$I$50)+MIN(MAX(0,((SUM(Z33:Z44)-'Retirement Planning'!$I$53-'Retirement Planning'!$I$54)-'Retirement Planning'!$J$48)*'Retirement Planning'!$I$49),('Retirement Planning'!$J$49-'Retirement Planning'!$J$48)*'Retirement Planning'!$I$49)+MIN(((SUM(Z33:Z44)-'Retirement Planning'!$I$53-'Retirement Planning'!$I$54))*'Retirement Planning'!$I$48,('Retirement Planning'!$J$48)*'Retirement Planning'!$I$48))+(IF((SUM(Z33:Z44)-'Retirement Planning'!$I$54-'Retirement Planning'!$I$61)&gt;'Retirement Planning'!$J$59,(SUM(Z33:Z44)-'Retirement Planning'!$I$54-'Retirement Planning'!$I$61-'Retirement Planning'!$J$59)*'Retirement Planning'!$I$60+'Retirement Planning'!$K$59,IF((SUM(Z33:Z44)-'Retirement Planning'!$I$54-'Retirement Planning'!$I$61)&gt;'Retirement Planning'!$J$58,(SUM(Z33:Z44)-'Retirement Planning'!$I$54-'Retirement Planning'!$I$61-'Retirement Planning'!$J$58)*'Retirement Planning'!$I$59+'Retirement Planning'!$K$58,IF((SUM(Z33:Z44)-'Retirement Planning'!$I$54-'Retirement Planning'!$I$61)&gt;'Retirement Planning'!$J$57,(SUM(Z33:Z44)-'Retirement Planning'!$I$54-'Retirement Planning'!$I$61-'Retirement Planning'!$J$57)*'Retirement Planning'!$I$58+'Retirement Planning'!$K$57,IF((SUM(Z33:Z44)-'Retirement Planning'!$I$54-'Retirement Planning'!$I$61)&gt;'Retirement Planning'!$J$56,(SUM(Z33:Z44)-'Retirement Planning'!$I$54-'Retirement Planning'!$I$61-'Retirement Planning'!$J$56)*'Retirement Planning'!$I$57+'Retirement Planning'!$K$56,(SUM(Z33:Z44)-'Retirement Planning'!$I$54-'Retirement Planning'!$I$61)*'Retirement Planning'!$I$56))))))/12,AA44)</f>
        <v>990.74216470505598</v>
      </c>
      <c r="AB45" s="104">
        <f t="shared" ref="AB45" ca="1" si="20">SUM(AA45:AA56)/SUM(Z33:Z44)</f>
        <v>0.17760250409520181</v>
      </c>
      <c r="AC45" s="7">
        <f>IF(B45&lt;65,'Retirement Planning'!$J$28,0)</f>
        <v>583</v>
      </c>
      <c r="AD45" s="7">
        <f>IF(B45&lt;65,'Retirement Planning'!$J$29/12,0)</f>
        <v>291.66666666666669</v>
      </c>
      <c r="AE45" s="22">
        <f>'Retirement Planning'!$J$31/12</f>
        <v>58.333333333333336</v>
      </c>
      <c r="AF45" s="22">
        <f>'Retirement Planning'!$J$32/12</f>
        <v>66.666666666666671</v>
      </c>
      <c r="AG45" s="7">
        <f>IF($B45&gt;64.9,'Retirement Planning'!$J$39/12,0)</f>
        <v>0</v>
      </c>
      <c r="AH45" s="7">
        <f>IF($B45&gt;64.9,'Retirement Planning'!$J$40/12,0)</f>
        <v>0</v>
      </c>
      <c r="AI45" s="7">
        <f>IF($B45&gt;64.9,'Retirement Planning'!$J$41/12,0)</f>
        <v>0</v>
      </c>
      <c r="AJ45" s="7">
        <f t="shared" ca="1" si="6"/>
        <v>0</v>
      </c>
      <c r="AK45" s="3" t="str">
        <f t="shared" ca="1" si="7"/>
        <v>N/A</v>
      </c>
      <c r="AL45" s="6" t="str">
        <f t="shared" ca="1" si="8"/>
        <v>N/A</v>
      </c>
      <c r="AM45" s="7">
        <f t="shared" ca="1" si="9"/>
        <v>6.8212102632969618E-13</v>
      </c>
      <c r="AN45" s="7">
        <f t="shared" ca="1" si="10"/>
        <v>7746.3489642258919</v>
      </c>
      <c r="AO45" s="7">
        <f t="shared" si="11"/>
        <v>999.66666666666674</v>
      </c>
    </row>
    <row r="46" spans="1:41" x14ac:dyDescent="0.2">
      <c r="A46">
        <f t="shared" si="12"/>
        <v>0</v>
      </c>
      <c r="B46" s="5">
        <f t="shared" si="13"/>
        <v>59.3</v>
      </c>
      <c r="C46" s="56">
        <f t="shared" si="14"/>
        <v>47515</v>
      </c>
      <c r="D46" s="57">
        <f ca="1">IF(AND(B45&lt;59.5,OR(B46&gt;59.5,B46=59.5)),(D45-E45+J45-K45)*(1+'Retirement Planning'!$J$23/12),(D45-E45)*(1+'Retirement Planning'!$J$23/12))</f>
        <v>181274.28579906435</v>
      </c>
      <c r="E46" s="58">
        <f t="shared" ca="1" si="0"/>
        <v>692.20960372957597</v>
      </c>
      <c r="F46" s="57">
        <f>IF(AND(OR(B46&gt;59.5,B46=59.5),B45&lt;59.5),(F45-G45+L45-M45+N45-O45)*(1+'Retirement Planning'!$J$23/12),(F45-G45)*(1+'Retirement Planning'!$J$23/12))</f>
        <v>14663.226672717887</v>
      </c>
      <c r="G46" s="58">
        <f>IF(AND($B$10&lt;55,B46&lt;59.5),'Retirement Planning'!$J$25,IF(OR(B46&gt;59.5,B46=59.5),MAX(0,MIN(F46,IF(D46&lt;2500,((Y46+AJ46+AA46))-X46,((Y46+AJ46+AA46)*'Retirement Planning'!$J$44)-X46))),0))</f>
        <v>0</v>
      </c>
      <c r="H46" s="255">
        <f>IF(MONTH(C46)=1,IF(B46&gt;69.5,F46/(INDEX('Retirement Planning'!D$1:D$264,(160+INT(B46))))/12,0),IF(F46=0,0,H45))</f>
        <v>0</v>
      </c>
      <c r="I46" s="262">
        <f t="shared" si="1"/>
        <v>0</v>
      </c>
      <c r="J46" s="254">
        <f>IF(AND(B45&lt;59.5,OR(B46=59.5,B46&gt;59.5)),0,(J45-K45)*(1+'Retirement Planning'!$J$23/12))</f>
        <v>40567.16262742359</v>
      </c>
      <c r="K46" s="58">
        <f t="shared" si="2"/>
        <v>0</v>
      </c>
      <c r="L46" s="57">
        <f ca="1">IF(AND(OR(B46&gt;59.5,B46=59.5),B45&lt;59.5),0,(L45-M45)*(1+'Retirement Planning'!$J$23/12))</f>
        <v>1016928.5801349167</v>
      </c>
      <c r="M46" s="59">
        <f ca="1">IF(AND($B$10&lt;55,B46&lt;59.5),0,IF(B46&lt;59.5,MAX(0,MIN((($Y46+$AJ46+AA46)*'Retirement Planning'!$J$44)-$G46-$X46,L46)),0))</f>
        <v>5464.8126610229729</v>
      </c>
      <c r="N46" s="57">
        <f>(N45-O45)*(1+'Retirement Planning'!$J$23/12)</f>
        <v>0</v>
      </c>
      <c r="O46" s="59">
        <f>IF(B46&gt;59.5,MAX(0,MIN((AA46+$Y46+$AJ46)*(IF(D46&lt;(MIN(E34:E45)+1),1,'Retirement Planning'!$J$44))-M46-$G46-$X46-(IF(D46&lt;(MIN(E34:E45)+1),D46,0)),N46)),0)</f>
        <v>0</v>
      </c>
      <c r="P46" s="57">
        <f t="shared" si="15"/>
        <v>20411.999999999985</v>
      </c>
      <c r="Q46" s="58">
        <f t="shared" si="16"/>
        <v>641.33333333333337</v>
      </c>
      <c r="R46" s="57">
        <f ca="1">(R45-S45-T45)*(1+'Retirement Planning'!$J$23/12)</f>
        <v>204067.82025410494</v>
      </c>
      <c r="S46" s="58">
        <f t="shared" ca="1" si="17"/>
        <v>358.33333333333337</v>
      </c>
      <c r="T46" s="273">
        <f t="shared" ca="1" si="3"/>
        <v>3.4106051316484809E-13</v>
      </c>
      <c r="U46" s="57">
        <f ca="1">(U45-V45)*(1+'Retirement Planning'!$J$23/12)</f>
        <v>185770.06869314017</v>
      </c>
      <c r="V46" s="24">
        <f ca="1">IF(AND($B$10&lt;55,B46&lt;59.5),MIN(U46,MAX(0,(Y46+AA46+AJ46-G46)*'Retirement Planning'!$J$45)),IF(B46&lt;59.5,(MIN(U46,MAX(0,((Y46+AA46+AJ46)-G46-M46)*'Retirement Planning'!$J$45))),MIN(U46,MAX(0,(Y46+AA46+AJ46-G46-M46-K46-X46)*'Retirement Planning'!$J$45))))</f>
        <v>589.66003280667599</v>
      </c>
      <c r="W46" s="7">
        <f t="shared" ca="1" si="4"/>
        <v>1663683.1441813675</v>
      </c>
      <c r="X46" s="7">
        <f>(IF(B46&gt;'Retirement Planning'!$J$34,IF('Retirement Planning'!$J$34=70,'Retirement Planning'!$J$37/12,IF('Retirement Planning'!$J$34=67,'Retirement Planning'!$J$36/12,'Retirement Planning'!$J$35/12)),0))*'Retirement Planning'!$J$38</f>
        <v>0</v>
      </c>
      <c r="Y46" s="7">
        <f ca="1">'Retirement Planning'!$F$35*((1+'Retirement Planning'!$J$24)^(YEAR('Projected Retirement Drawdown'!C46)-YEAR(TODAY())))</f>
        <v>5755.940132854169</v>
      </c>
      <c r="Z46" s="7">
        <f ca="1">G46+M46+O46+0.85*X46+V46*'Retirement Planning'!$J$46+T46</f>
        <v>5789.1256790666448</v>
      </c>
      <c r="AA46" s="7">
        <f ca="1">IF(MONTH(C46)=1,(((MIN(MAX(0,((SUM(Z34:Z45)-'Retirement Planning'!$I$53-'Retirement Planning'!$I$54)-'Retirement Planning'!$J$51)*'Retirement Planning'!$I$52))))+(MIN(MAX(0,((SUM(Z34:Z45)-'Retirement Planning'!$I$53-'Retirement Planning'!$I$54)-'Retirement Planning'!$J$50)*'Retirement Planning'!$I$51),('Retirement Planning'!$J$51-'Retirement Planning'!$J$50)*'Retirement Planning'!$I$51))+(MIN(MAX(0,((SUM(Z34:Z45)-'Retirement Planning'!$I$53-'Retirement Planning'!$I$54)-'Retirement Planning'!$J$49)*'Retirement Planning'!$I$50),('Retirement Planning'!$J$50-'Retirement Planning'!$J$49)*'Retirement Planning'!$I$50)+MIN(MAX(0,((SUM(Z34:Z45)-'Retirement Planning'!$I$53-'Retirement Planning'!$I$54)-'Retirement Planning'!$J$48)*'Retirement Planning'!$I$49),('Retirement Planning'!$J$49-'Retirement Planning'!$J$48)*'Retirement Planning'!$I$49)+MIN(((SUM(Z34:Z45)-'Retirement Planning'!$I$53-'Retirement Planning'!$I$54))*'Retirement Planning'!$I$48,('Retirement Planning'!$J$48)*'Retirement Planning'!$I$48))+(IF((SUM(Z34:Z45)-'Retirement Planning'!$I$54-'Retirement Planning'!$I$61)&gt;'Retirement Planning'!$J$59,(SUM(Z34:Z45)-'Retirement Planning'!$I$54-'Retirement Planning'!$I$61-'Retirement Planning'!$J$59)*'Retirement Planning'!$I$60+'Retirement Planning'!$K$59,IF((SUM(Z34:Z45)-'Retirement Planning'!$I$54-'Retirement Planning'!$I$61)&gt;'Retirement Planning'!$J$58,(SUM(Z34:Z45)-'Retirement Planning'!$I$54-'Retirement Planning'!$I$61-'Retirement Planning'!$J$58)*'Retirement Planning'!$I$59+'Retirement Planning'!$K$58,IF((SUM(Z34:Z45)-'Retirement Planning'!$I$54-'Retirement Planning'!$I$61)&gt;'Retirement Planning'!$J$57,(SUM(Z34:Z45)-'Retirement Planning'!$I$54-'Retirement Planning'!$I$61-'Retirement Planning'!$J$57)*'Retirement Planning'!$I$58+'Retirement Planning'!$K$57,IF((SUM(Z34:Z45)-'Retirement Planning'!$I$54-'Retirement Planning'!$I$61)&gt;'Retirement Planning'!$J$56,(SUM(Z34:Z45)-'Retirement Planning'!$I$54-'Retirement Planning'!$I$61-'Retirement Planning'!$J$56)*'Retirement Planning'!$I$57+'Retirement Planning'!$K$56,(SUM(Z34:Z45)-'Retirement Planning'!$I$54-'Retirement Planning'!$I$61)*'Retirement Planning'!$I$56))))))/12,AA45)</f>
        <v>990.74216470505598</v>
      </c>
      <c r="AB46" s="104">
        <f t="shared" ref="AB46:AB109" ca="1" si="21">AB45</f>
        <v>0.17760250409520181</v>
      </c>
      <c r="AC46" s="7">
        <f>IF(B46&lt;65,'Retirement Planning'!$J$28,0)</f>
        <v>583</v>
      </c>
      <c r="AD46" s="7">
        <f>IF(B46&lt;65,'Retirement Planning'!$J$29/12,0)</f>
        <v>291.66666666666669</v>
      </c>
      <c r="AE46" s="22">
        <f>'Retirement Planning'!$J$31/12</f>
        <v>58.333333333333336</v>
      </c>
      <c r="AF46" s="22">
        <f>'Retirement Planning'!$J$32/12</f>
        <v>66.666666666666671</v>
      </c>
      <c r="AG46" s="7">
        <f>IF($B46&gt;64.9,'Retirement Planning'!$J$39/12,0)</f>
        <v>0</v>
      </c>
      <c r="AH46" s="7">
        <f>IF($B46&gt;64.9,'Retirement Planning'!$J$40/12,0)</f>
        <v>0</v>
      </c>
      <c r="AI46" s="7">
        <f>IF($B46&gt;64.9,'Retirement Planning'!$J$41/12,0)</f>
        <v>0</v>
      </c>
      <c r="AJ46" s="7">
        <f t="shared" ca="1" si="6"/>
        <v>0</v>
      </c>
      <c r="AK46" s="3" t="str">
        <f t="shared" ca="1" si="7"/>
        <v>N/A</v>
      </c>
      <c r="AL46" s="6" t="str">
        <f t="shared" ca="1" si="8"/>
        <v>N/A</v>
      </c>
      <c r="AM46" s="7">
        <f t="shared" ca="1" si="9"/>
        <v>6.8212102632969618E-13</v>
      </c>
      <c r="AN46" s="7">
        <f t="shared" ca="1" si="10"/>
        <v>7746.3489642258919</v>
      </c>
      <c r="AO46" s="7">
        <f t="shared" si="11"/>
        <v>999.66666666666674</v>
      </c>
    </row>
    <row r="47" spans="1:41" x14ac:dyDescent="0.2">
      <c r="A47">
        <f t="shared" si="12"/>
        <v>0</v>
      </c>
      <c r="B47" s="5">
        <f t="shared" si="13"/>
        <v>59.4</v>
      </c>
      <c r="C47" s="56">
        <f t="shared" si="14"/>
        <v>47543</v>
      </c>
      <c r="D47" s="57">
        <f ca="1">IF(AND(B46&lt;59.5,OR(B47&gt;59.5,B47=59.5)),(D46-E46+J46-K46)*(1+'Retirement Planning'!$J$23/12),(D46-E46)*(1+'Retirement Planning'!$J$23/12))</f>
        <v>181861.19923505172</v>
      </c>
      <c r="E47" s="58">
        <f t="shared" ca="1" si="0"/>
        <v>692.20960372957597</v>
      </c>
      <c r="F47" s="57">
        <f>IF(AND(OR(B47&gt;59.5,B47=59.5),B46&lt;59.5),(F46-G46+L46-M46+N46-O46)*(1+'Retirement Planning'!$J$23/12),(F46-G46)*(1+'Retirement Planning'!$J$23/12))</f>
        <v>14767.091194982972</v>
      </c>
      <c r="G47" s="58">
        <f>IF(AND($B$10&lt;55,B47&lt;59.5),'Retirement Planning'!$J$25,IF(OR(B47&gt;59.5,B47=59.5),MAX(0,MIN(F47,IF(D47&lt;2500,((Y47+AJ47+AA47))-X47,((Y47+AJ47+AA47)*'Retirement Planning'!$J$44)-X47))),0))</f>
        <v>0</v>
      </c>
      <c r="H47" s="255">
        <f>IF(MONTH(C47)=1,IF(B47&gt;69.5,F47/(INDEX('Retirement Planning'!D$1:D$264,(160+INT(B47))))/12,0),IF(F47=0,0,H46))</f>
        <v>0</v>
      </c>
      <c r="I47" s="262">
        <f t="shared" si="1"/>
        <v>0</v>
      </c>
      <c r="J47" s="254">
        <f>IF(AND(B46&lt;59.5,OR(B47=59.5,B47&gt;59.5)),0,(J46-K46)*(1+'Retirement Planning'!$J$23/12))</f>
        <v>40854.513362701175</v>
      </c>
      <c r="K47" s="58">
        <f t="shared" si="2"/>
        <v>0</v>
      </c>
      <c r="L47" s="57">
        <f ca="1">IF(AND(OR(B47&gt;59.5,B47=59.5),B46&lt;59.5),0,(L46-M46)*(1+'Retirement Planning'!$J$23/12))</f>
        <v>1018628.3024935004</v>
      </c>
      <c r="M47" s="59">
        <f ca="1">IF(AND($B$10&lt;55,B47&lt;59.5),0,IF(B47&lt;59.5,MAX(0,MIN((($Y47+$AJ47+AA47)*'Retirement Planning'!$J$44)-$G47-$X47,L47)),0))</f>
        <v>5464.8126610229729</v>
      </c>
      <c r="N47" s="57">
        <f>(N46-O46)*(1+'Retirement Planning'!$J$23/12)</f>
        <v>0</v>
      </c>
      <c r="O47" s="59">
        <f>IF(B47&gt;59.5,MAX(0,MIN((AA47+$Y47+$AJ47)*(IF(D47&lt;(MIN(E35:E46)+1),1,'Retirement Planning'!$J$44))-M47-$G47-$X47-(IF(D47&lt;(MIN(E35:E46)+1),D47,0)),N47)),0)</f>
        <v>0</v>
      </c>
      <c r="P47" s="57">
        <f t="shared" si="15"/>
        <v>19770.666666666653</v>
      </c>
      <c r="Q47" s="58">
        <f t="shared" si="16"/>
        <v>641.33333333333337</v>
      </c>
      <c r="R47" s="57">
        <f ca="1">(R46-S46-T46)*(1+'Retirement Planning'!$J$23/12)</f>
        <v>205152.42911979373</v>
      </c>
      <c r="S47" s="58">
        <f t="shared" ca="1" si="17"/>
        <v>358.33333333333337</v>
      </c>
      <c r="T47" s="273">
        <f t="shared" ca="1" si="3"/>
        <v>3.4106051316484809E-13</v>
      </c>
      <c r="U47" s="57">
        <f ca="1">(U46-V46)*(1+'Retirement Planning'!$J$23/12)</f>
        <v>186492.10322167751</v>
      </c>
      <c r="V47" s="24">
        <f ca="1">IF(AND($B$10&lt;55,B47&lt;59.5),MIN(U47,MAX(0,(Y47+AA47+AJ47-G47)*'Retirement Planning'!$J$45)),IF(B47&lt;59.5,(MIN(U47,MAX(0,((Y47+AA47+AJ47)-G47-M47)*'Retirement Planning'!$J$45))),MIN(U47,MAX(0,(Y47+AA47+AJ47-G47-M47-K47-X47)*'Retirement Planning'!$J$45))))</f>
        <v>589.66003280667599</v>
      </c>
      <c r="W47" s="7">
        <f t="shared" ca="1" si="4"/>
        <v>1667526.3052943742</v>
      </c>
      <c r="X47" s="7">
        <f>(IF(B47&gt;'Retirement Planning'!$J$34,IF('Retirement Planning'!$J$34=70,'Retirement Planning'!$J$37/12,IF('Retirement Planning'!$J$34=67,'Retirement Planning'!$J$36/12,'Retirement Planning'!$J$35/12)),0))*'Retirement Planning'!$J$38</f>
        <v>0</v>
      </c>
      <c r="Y47" s="7">
        <f ca="1">'Retirement Planning'!$F$35*((1+'Retirement Planning'!$J$24)^(YEAR('Projected Retirement Drawdown'!C47)-YEAR(TODAY())))</f>
        <v>5755.940132854169</v>
      </c>
      <c r="Z47" s="7">
        <f ca="1">G47+M47+O47+0.85*X47+V47*'Retirement Planning'!$J$46+T47</f>
        <v>5789.1256790666448</v>
      </c>
      <c r="AA47" s="7">
        <f ca="1">IF(MONTH(C47)=1,(((MIN(MAX(0,((SUM(Z35:Z46)-'Retirement Planning'!$I$53-'Retirement Planning'!$I$54)-'Retirement Planning'!$J$51)*'Retirement Planning'!$I$52))))+(MIN(MAX(0,((SUM(Z35:Z46)-'Retirement Planning'!$I$53-'Retirement Planning'!$I$54)-'Retirement Planning'!$J$50)*'Retirement Planning'!$I$51),('Retirement Planning'!$J$51-'Retirement Planning'!$J$50)*'Retirement Planning'!$I$51))+(MIN(MAX(0,((SUM(Z35:Z46)-'Retirement Planning'!$I$53-'Retirement Planning'!$I$54)-'Retirement Planning'!$J$49)*'Retirement Planning'!$I$50),('Retirement Planning'!$J$50-'Retirement Planning'!$J$49)*'Retirement Planning'!$I$50)+MIN(MAX(0,((SUM(Z35:Z46)-'Retirement Planning'!$I$53-'Retirement Planning'!$I$54)-'Retirement Planning'!$J$48)*'Retirement Planning'!$I$49),('Retirement Planning'!$J$49-'Retirement Planning'!$J$48)*'Retirement Planning'!$I$49)+MIN(((SUM(Z35:Z46)-'Retirement Planning'!$I$53-'Retirement Planning'!$I$54))*'Retirement Planning'!$I$48,('Retirement Planning'!$J$48)*'Retirement Planning'!$I$48))+(IF((SUM(Z35:Z46)-'Retirement Planning'!$I$54-'Retirement Planning'!$I$61)&gt;'Retirement Planning'!$J$59,(SUM(Z35:Z46)-'Retirement Planning'!$I$54-'Retirement Planning'!$I$61-'Retirement Planning'!$J$59)*'Retirement Planning'!$I$60+'Retirement Planning'!$K$59,IF((SUM(Z35:Z46)-'Retirement Planning'!$I$54-'Retirement Planning'!$I$61)&gt;'Retirement Planning'!$J$58,(SUM(Z35:Z46)-'Retirement Planning'!$I$54-'Retirement Planning'!$I$61-'Retirement Planning'!$J$58)*'Retirement Planning'!$I$59+'Retirement Planning'!$K$58,IF((SUM(Z35:Z46)-'Retirement Planning'!$I$54-'Retirement Planning'!$I$61)&gt;'Retirement Planning'!$J$57,(SUM(Z35:Z46)-'Retirement Planning'!$I$54-'Retirement Planning'!$I$61-'Retirement Planning'!$J$57)*'Retirement Planning'!$I$58+'Retirement Planning'!$K$57,IF((SUM(Z35:Z46)-'Retirement Planning'!$I$54-'Retirement Planning'!$I$61)&gt;'Retirement Planning'!$J$56,(SUM(Z35:Z46)-'Retirement Planning'!$I$54-'Retirement Planning'!$I$61-'Retirement Planning'!$J$56)*'Retirement Planning'!$I$57+'Retirement Planning'!$K$56,(SUM(Z35:Z46)-'Retirement Planning'!$I$54-'Retirement Planning'!$I$61)*'Retirement Planning'!$I$56))))))/12,AA46)</f>
        <v>990.74216470505598</v>
      </c>
      <c r="AB47" s="104">
        <f t="shared" ca="1" si="21"/>
        <v>0.17760250409520181</v>
      </c>
      <c r="AC47" s="7">
        <f>IF(B47&lt;65,'Retirement Planning'!$J$28,0)</f>
        <v>583</v>
      </c>
      <c r="AD47" s="7">
        <f>IF(B47&lt;65,'Retirement Planning'!$J$29/12,0)</f>
        <v>291.66666666666669</v>
      </c>
      <c r="AE47" s="22">
        <f>'Retirement Planning'!$J$31/12</f>
        <v>58.333333333333336</v>
      </c>
      <c r="AF47" s="22">
        <f>'Retirement Planning'!$J$32/12</f>
        <v>66.666666666666671</v>
      </c>
      <c r="AG47" s="7">
        <f>IF($B47&gt;64.9,'Retirement Planning'!$J$39/12,0)</f>
        <v>0</v>
      </c>
      <c r="AH47" s="7">
        <f>IF($B47&gt;64.9,'Retirement Planning'!$J$40/12,0)</f>
        <v>0</v>
      </c>
      <c r="AI47" s="7">
        <f>IF($B47&gt;64.9,'Retirement Planning'!$J$41/12,0)</f>
        <v>0</v>
      </c>
      <c r="AJ47" s="7">
        <f t="shared" ca="1" si="6"/>
        <v>0</v>
      </c>
      <c r="AK47" s="3" t="str">
        <f t="shared" ca="1" si="7"/>
        <v>N/A</v>
      </c>
      <c r="AL47" s="6" t="str">
        <f t="shared" ca="1" si="8"/>
        <v>N/A</v>
      </c>
      <c r="AM47" s="7">
        <f t="shared" ca="1" si="9"/>
        <v>6.8212102632969618E-13</v>
      </c>
      <c r="AN47" s="7">
        <f t="shared" ca="1" si="10"/>
        <v>7746.3489642258919</v>
      </c>
      <c r="AO47" s="7">
        <f t="shared" si="11"/>
        <v>999.66666666666674</v>
      </c>
    </row>
    <row r="48" spans="1:41" x14ac:dyDescent="0.2">
      <c r="A48">
        <f t="shared" si="12"/>
        <v>0</v>
      </c>
      <c r="B48" s="5">
        <f t="shared" si="13"/>
        <v>59.5</v>
      </c>
      <c r="C48" s="56">
        <f t="shared" si="14"/>
        <v>47574</v>
      </c>
      <c r="D48" s="57">
        <f ca="1">IF(AND(B47&lt;59.5,OR(B48&gt;59.5,B48=59.5)),(D47-E47+J47-K47)*(1+'Retirement Planning'!$J$23/12),(D47-E47)*(1+'Retirement Planning'!$J$23/12))</f>
        <v>223596.16947356431</v>
      </c>
      <c r="E48" s="58">
        <f t="shared" ca="1" si="0"/>
        <v>692.20960372957597</v>
      </c>
      <c r="F48" s="57">
        <f ca="1">IF(AND(OR(B48&gt;59.5,B48=59.5),B47&lt;59.5),(F47-G47+L47-M47+N47-O47)*(1+'Retirement Planning'!$J$23/12),(F47-G47)*(1+'Retirement Planning'!$J$23/12))</f>
        <v>1035211.7559764049</v>
      </c>
      <c r="G48" s="58">
        <f ca="1">IF(AND($B$10&lt;55,B48&lt;59.5),'Retirement Planning'!$J$25,IF(OR(B48&gt;59.5,B48=59.5),MAX(0,MIN(F48,IF(D48&lt;2500,((Y48+AJ48+AA48))-X48,((Y48+AJ48+AA48)*'Retirement Planning'!$J$44)-X48))),0))</f>
        <v>5464.8126610229729</v>
      </c>
      <c r="H48" s="255">
        <f ca="1">IF(MONTH(C48)=1,IF(B48&gt;69.5,F48/(INDEX('Retirement Planning'!D$1:D$264,(160+INT(B48))))/12,0),IF(F48=0,0,H47))</f>
        <v>0</v>
      </c>
      <c r="I48" s="262">
        <f t="shared" ca="1" si="1"/>
        <v>0</v>
      </c>
      <c r="J48" s="254">
        <f>IF(AND(B47&lt;59.5,OR(B48=59.5,B48&gt;59.5)),0,(J47-K47)*(1+'Retirement Planning'!$J$23/12))</f>
        <v>0</v>
      </c>
      <c r="K48" s="58">
        <f t="shared" si="2"/>
        <v>0</v>
      </c>
      <c r="L48" s="57">
        <f>IF(AND(OR(B48&gt;59.5,B48=59.5),B47&lt;59.5),0,(L47-M47)*(1+'Retirement Planning'!$J$23/12))</f>
        <v>0</v>
      </c>
      <c r="M48" s="59">
        <f>IF(AND($B$10&lt;55,B48&lt;59.5),0,IF(B48&lt;59.5,MAX(0,MIN((($Y48+$AJ48+AA48)*'Retirement Planning'!$J$44)-$G48-$X48,L48)),0))</f>
        <v>0</v>
      </c>
      <c r="N48" s="57">
        <f>(N47-O47)*(1+'Retirement Planning'!$J$23/12)</f>
        <v>0</v>
      </c>
      <c r="O48" s="59">
        <f>IF(B48&gt;59.5,MAX(0,MIN((AA48+$Y48+$AJ48)*(IF(D48&lt;(MIN(E36:E47)+1),1,'Retirement Planning'!$J$44))-M48-$G48-$X48-(IF(D48&lt;(MIN(E36:E47)+1),D48,0)),N48)),0)</f>
        <v>0</v>
      </c>
      <c r="P48" s="57">
        <f t="shared" si="15"/>
        <v>19129.333333333321</v>
      </c>
      <c r="Q48" s="58">
        <f t="shared" si="16"/>
        <v>641.33333333333337</v>
      </c>
      <c r="R48" s="57">
        <f ca="1">(R47-S47-T47)*(1+'Retirement Planning'!$J$23/12)</f>
        <v>206244.72063161447</v>
      </c>
      <c r="S48" s="58">
        <f t="shared" ca="1" si="17"/>
        <v>358.33333333333337</v>
      </c>
      <c r="T48" s="273">
        <f t="shared" ca="1" si="3"/>
        <v>3.4106051316484809E-13</v>
      </c>
      <c r="U48" s="57">
        <f ca="1">(U47-V47)*(1+'Retirement Planning'!$J$23/12)</f>
        <v>187219.25216145866</v>
      </c>
      <c r="V48" s="24">
        <f ca="1">IF(AND($B$10&lt;55,B48&lt;59.5),MIN(U48,MAX(0,(Y48+AA48+AJ48-G48)*'Retirement Planning'!$J$45)),IF(B48&lt;59.5,(MIN(U48,MAX(0,((Y48+AA48+AJ48)-G48-M48)*'Retirement Planning'!$J$45))),MIN(U48,MAX(0,(Y48+AA48+AJ48-G48-M48-K48-X48)*'Retirement Planning'!$J$45))))</f>
        <v>589.66003280667599</v>
      </c>
      <c r="W48" s="7">
        <f t="shared" ca="1" si="4"/>
        <v>1671401.2315763757</v>
      </c>
      <c r="X48" s="7">
        <f>(IF(B48&gt;'Retirement Planning'!$J$34,IF('Retirement Planning'!$J$34=70,'Retirement Planning'!$J$37/12,IF('Retirement Planning'!$J$34=67,'Retirement Planning'!$J$36/12,'Retirement Planning'!$J$35/12)),0))*'Retirement Planning'!$J$38</f>
        <v>0</v>
      </c>
      <c r="Y48" s="7">
        <f ca="1">'Retirement Planning'!$F$35*((1+'Retirement Planning'!$J$24)^(YEAR('Projected Retirement Drawdown'!C48)-YEAR(TODAY())))</f>
        <v>5755.940132854169</v>
      </c>
      <c r="Z48" s="7">
        <f ca="1">G48+M48+O48+0.85*X48+V48*'Retirement Planning'!$J$46+T48</f>
        <v>5789.1256790666448</v>
      </c>
      <c r="AA48" s="7">
        <f ca="1">IF(MONTH(C48)=1,(((MIN(MAX(0,((SUM(Z36:Z47)-'Retirement Planning'!$I$53-'Retirement Planning'!$I$54)-'Retirement Planning'!$J$51)*'Retirement Planning'!$I$52))))+(MIN(MAX(0,((SUM(Z36:Z47)-'Retirement Planning'!$I$53-'Retirement Planning'!$I$54)-'Retirement Planning'!$J$50)*'Retirement Planning'!$I$51),('Retirement Planning'!$J$51-'Retirement Planning'!$J$50)*'Retirement Planning'!$I$51))+(MIN(MAX(0,((SUM(Z36:Z47)-'Retirement Planning'!$I$53-'Retirement Planning'!$I$54)-'Retirement Planning'!$J$49)*'Retirement Planning'!$I$50),('Retirement Planning'!$J$50-'Retirement Planning'!$J$49)*'Retirement Planning'!$I$50)+MIN(MAX(0,((SUM(Z36:Z47)-'Retirement Planning'!$I$53-'Retirement Planning'!$I$54)-'Retirement Planning'!$J$48)*'Retirement Planning'!$I$49),('Retirement Planning'!$J$49-'Retirement Planning'!$J$48)*'Retirement Planning'!$I$49)+MIN(((SUM(Z36:Z47)-'Retirement Planning'!$I$53-'Retirement Planning'!$I$54))*'Retirement Planning'!$I$48,('Retirement Planning'!$J$48)*'Retirement Planning'!$I$48))+(IF((SUM(Z36:Z47)-'Retirement Planning'!$I$54-'Retirement Planning'!$I$61)&gt;'Retirement Planning'!$J$59,(SUM(Z36:Z47)-'Retirement Planning'!$I$54-'Retirement Planning'!$I$61-'Retirement Planning'!$J$59)*'Retirement Planning'!$I$60+'Retirement Planning'!$K$59,IF((SUM(Z36:Z47)-'Retirement Planning'!$I$54-'Retirement Planning'!$I$61)&gt;'Retirement Planning'!$J$58,(SUM(Z36:Z47)-'Retirement Planning'!$I$54-'Retirement Planning'!$I$61-'Retirement Planning'!$J$58)*'Retirement Planning'!$I$59+'Retirement Planning'!$K$58,IF((SUM(Z36:Z47)-'Retirement Planning'!$I$54-'Retirement Planning'!$I$61)&gt;'Retirement Planning'!$J$57,(SUM(Z36:Z47)-'Retirement Planning'!$I$54-'Retirement Planning'!$I$61-'Retirement Planning'!$J$57)*'Retirement Planning'!$I$58+'Retirement Planning'!$K$57,IF((SUM(Z36:Z47)-'Retirement Planning'!$I$54-'Retirement Planning'!$I$61)&gt;'Retirement Planning'!$J$56,(SUM(Z36:Z47)-'Retirement Planning'!$I$54-'Retirement Planning'!$I$61-'Retirement Planning'!$J$56)*'Retirement Planning'!$I$57+'Retirement Planning'!$K$56,(SUM(Z36:Z47)-'Retirement Planning'!$I$54-'Retirement Planning'!$I$61)*'Retirement Planning'!$I$56))))))/12,AA47)</f>
        <v>990.74216470505598</v>
      </c>
      <c r="AB48" s="104">
        <f t="shared" ca="1" si="21"/>
        <v>0.17760250409520181</v>
      </c>
      <c r="AC48" s="7">
        <f>IF(B48&lt;65,'Retirement Planning'!$J$28,0)</f>
        <v>583</v>
      </c>
      <c r="AD48" s="7">
        <f>IF(B48&lt;65,'Retirement Planning'!$J$29/12,0)</f>
        <v>291.66666666666669</v>
      </c>
      <c r="AE48" s="22">
        <f>'Retirement Planning'!$J$31/12</f>
        <v>58.333333333333336</v>
      </c>
      <c r="AF48" s="22">
        <f>'Retirement Planning'!$J$32/12</f>
        <v>66.666666666666671</v>
      </c>
      <c r="AG48" s="7">
        <f>IF($B48&gt;64.9,'Retirement Planning'!$J$39/12,0)</f>
        <v>0</v>
      </c>
      <c r="AH48" s="7">
        <f>IF($B48&gt;64.9,'Retirement Planning'!$J$40/12,0)</f>
        <v>0</v>
      </c>
      <c r="AI48" s="7">
        <f>IF($B48&gt;64.9,'Retirement Planning'!$J$41/12,0)</f>
        <v>0</v>
      </c>
      <c r="AJ48" s="7">
        <f t="shared" ca="1" si="6"/>
        <v>0</v>
      </c>
      <c r="AK48" s="3" t="str">
        <f t="shared" ca="1" si="7"/>
        <v>N/A</v>
      </c>
      <c r="AL48" s="6" t="str">
        <f t="shared" ca="1" si="8"/>
        <v>N/A</v>
      </c>
      <c r="AM48" s="7">
        <f t="shared" ca="1" si="9"/>
        <v>6.8212102632969618E-13</v>
      </c>
      <c r="AN48" s="7">
        <f t="shared" ca="1" si="10"/>
        <v>7746.3489642258919</v>
      </c>
      <c r="AO48" s="7">
        <f t="shared" si="11"/>
        <v>999.66666666666674</v>
      </c>
    </row>
    <row r="49" spans="1:41" x14ac:dyDescent="0.2">
      <c r="A49">
        <f t="shared" si="12"/>
        <v>0</v>
      </c>
      <c r="B49" s="5">
        <f t="shared" si="13"/>
        <v>59.5</v>
      </c>
      <c r="C49" s="56">
        <f t="shared" si="14"/>
        <v>47604</v>
      </c>
      <c r="D49" s="57">
        <f ca="1">IF(AND(B48&lt;59.5,OR(B49&gt;59.5,B49=59.5)),(D48-E48+J48-K48)*(1+'Retirement Planning'!$J$23/12),(D48-E48)*(1+'Retirement Planning'!$J$23/12))</f>
        <v>224482.86291891272</v>
      </c>
      <c r="E49" s="58">
        <f t="shared" ca="1" si="0"/>
        <v>692.20960372957597</v>
      </c>
      <c r="F49" s="57">
        <f ca="1">IF(AND(OR(B49&gt;59.5,B49=59.5),B48&lt;59.5),(F48-G48+L48-M48+N48-O48)*(1+'Retirement Planning'!$J$23/12),(F48-G48)*(1+'Retirement Planning'!$J$23/12))</f>
        <v>1037040.9841638658</v>
      </c>
      <c r="G49" s="58">
        <f ca="1">IF(AND($B$10&lt;55,B49&lt;59.5),'Retirement Planning'!$J$25,IF(OR(B49&gt;59.5,B49=59.5),MAX(0,MIN(F49,IF(D49&lt;2500,((Y49+AJ49+AA49))-X49,((Y49+AJ49+AA49)*'Retirement Planning'!$J$44)-X49))),0))</f>
        <v>5464.8126610229729</v>
      </c>
      <c r="H49" s="255">
        <f ca="1">IF(MONTH(C49)=1,IF(B49&gt;69.5,F49/(INDEX('Retirement Planning'!D$1:D$264,(160+INT(B49))))/12,0),IF(F49=0,0,H48))</f>
        <v>0</v>
      </c>
      <c r="I49" s="262">
        <f t="shared" ca="1" si="1"/>
        <v>0</v>
      </c>
      <c r="J49" s="254">
        <f>IF(AND(B48&lt;59.5,OR(B49=59.5,B49&gt;59.5)),0,(J48-K48)*(1+'Retirement Planning'!$J$23/12))</f>
        <v>0</v>
      </c>
      <c r="K49" s="58">
        <f t="shared" si="2"/>
        <v>0</v>
      </c>
      <c r="L49" s="57">
        <f>IF(AND(OR(B49&gt;59.5,B49=59.5),B48&lt;59.5),0,(L48-M48)*(1+'Retirement Planning'!$J$23/12))</f>
        <v>0</v>
      </c>
      <c r="M49" s="59">
        <f>IF(AND($B$10&lt;55,B49&lt;59.5),0,IF(B49&lt;59.5,MAX(0,MIN((($Y49+$AJ49+AA49)*'Retirement Planning'!$J$44)-$G49-$X49,L49)),0))</f>
        <v>0</v>
      </c>
      <c r="N49" s="57">
        <f>(N48-O48)*(1+'Retirement Planning'!$J$23/12)</f>
        <v>0</v>
      </c>
      <c r="O49" s="59">
        <f>IF(B49&gt;59.5,MAX(0,MIN((AA49+$Y49+$AJ49)*(IF(D49&lt;(MIN(E37:E48)+1),1,'Retirement Planning'!$J$44))-M49-$G49-$X49-(IF(D49&lt;(MIN(E37:E48)+1),D49,0)),N49)),0)</f>
        <v>0</v>
      </c>
      <c r="P49" s="57">
        <f t="shared" si="15"/>
        <v>18487.999999999989</v>
      </c>
      <c r="Q49" s="58">
        <f t="shared" si="16"/>
        <v>641.33333333333337</v>
      </c>
      <c r="R49" s="57">
        <f ca="1">(R48-S48-T48)*(1+'Retirement Planning'!$J$23/12)</f>
        <v>207344.74920831062</v>
      </c>
      <c r="S49" s="58">
        <f t="shared" ca="1" si="17"/>
        <v>358.33333333333337</v>
      </c>
      <c r="T49" s="273">
        <f t="shared" ca="1" si="3"/>
        <v>3.4106051316484809E-13</v>
      </c>
      <c r="U49" s="57">
        <f ca="1">(U48-V48)*(1+'Retirement Planning'!$J$23/12)</f>
        <v>187951.55173956326</v>
      </c>
      <c r="V49" s="24">
        <f ca="1">IF(AND($B$10&lt;55,B49&lt;59.5),MIN(U49,MAX(0,(Y49+AA49+AJ49-G49)*'Retirement Planning'!$J$45)),IF(B49&lt;59.5,(MIN(U49,MAX(0,((Y49+AA49+AJ49)-G49-M49)*'Retirement Planning'!$J$45))),MIN(U49,MAX(0,(Y49+AA49+AJ49-G49-M49-K49-X49)*'Retirement Planning'!$J$45))))</f>
        <v>589.66003280667599</v>
      </c>
      <c r="W49" s="7">
        <f t="shared" ca="1" si="4"/>
        <v>1675308.1480306524</v>
      </c>
      <c r="X49" s="7">
        <f>(IF(B49&gt;'Retirement Planning'!$J$34,IF('Retirement Planning'!$J$34=70,'Retirement Planning'!$J$37/12,IF('Retirement Planning'!$J$34=67,'Retirement Planning'!$J$36/12,'Retirement Planning'!$J$35/12)),0))*'Retirement Planning'!$J$38</f>
        <v>0</v>
      </c>
      <c r="Y49" s="7">
        <f ca="1">'Retirement Planning'!$F$35*((1+'Retirement Planning'!$J$24)^(YEAR('Projected Retirement Drawdown'!C49)-YEAR(TODAY())))</f>
        <v>5755.940132854169</v>
      </c>
      <c r="Z49" s="7">
        <f ca="1">G49+M49+O49+0.85*X49+V49*'Retirement Planning'!$J$46+T49</f>
        <v>5789.1256790666448</v>
      </c>
      <c r="AA49" s="7">
        <f ca="1">IF(MONTH(C49)=1,(((MIN(MAX(0,((SUM(Z37:Z48)-'Retirement Planning'!$I$53-'Retirement Planning'!$I$54)-'Retirement Planning'!$J$51)*'Retirement Planning'!$I$52))))+(MIN(MAX(0,((SUM(Z37:Z48)-'Retirement Planning'!$I$53-'Retirement Planning'!$I$54)-'Retirement Planning'!$J$50)*'Retirement Planning'!$I$51),('Retirement Planning'!$J$51-'Retirement Planning'!$J$50)*'Retirement Planning'!$I$51))+(MIN(MAX(0,((SUM(Z37:Z48)-'Retirement Planning'!$I$53-'Retirement Planning'!$I$54)-'Retirement Planning'!$J$49)*'Retirement Planning'!$I$50),('Retirement Planning'!$J$50-'Retirement Planning'!$J$49)*'Retirement Planning'!$I$50)+MIN(MAX(0,((SUM(Z37:Z48)-'Retirement Planning'!$I$53-'Retirement Planning'!$I$54)-'Retirement Planning'!$J$48)*'Retirement Planning'!$I$49),('Retirement Planning'!$J$49-'Retirement Planning'!$J$48)*'Retirement Planning'!$I$49)+MIN(((SUM(Z37:Z48)-'Retirement Planning'!$I$53-'Retirement Planning'!$I$54))*'Retirement Planning'!$I$48,('Retirement Planning'!$J$48)*'Retirement Planning'!$I$48))+(IF((SUM(Z37:Z48)-'Retirement Planning'!$I$54-'Retirement Planning'!$I$61)&gt;'Retirement Planning'!$J$59,(SUM(Z37:Z48)-'Retirement Planning'!$I$54-'Retirement Planning'!$I$61-'Retirement Planning'!$J$59)*'Retirement Planning'!$I$60+'Retirement Planning'!$K$59,IF((SUM(Z37:Z48)-'Retirement Planning'!$I$54-'Retirement Planning'!$I$61)&gt;'Retirement Planning'!$J$58,(SUM(Z37:Z48)-'Retirement Planning'!$I$54-'Retirement Planning'!$I$61-'Retirement Planning'!$J$58)*'Retirement Planning'!$I$59+'Retirement Planning'!$K$58,IF((SUM(Z37:Z48)-'Retirement Planning'!$I$54-'Retirement Planning'!$I$61)&gt;'Retirement Planning'!$J$57,(SUM(Z37:Z48)-'Retirement Planning'!$I$54-'Retirement Planning'!$I$61-'Retirement Planning'!$J$57)*'Retirement Planning'!$I$58+'Retirement Planning'!$K$57,IF((SUM(Z37:Z48)-'Retirement Planning'!$I$54-'Retirement Planning'!$I$61)&gt;'Retirement Planning'!$J$56,(SUM(Z37:Z48)-'Retirement Planning'!$I$54-'Retirement Planning'!$I$61-'Retirement Planning'!$J$56)*'Retirement Planning'!$I$57+'Retirement Planning'!$K$56,(SUM(Z37:Z48)-'Retirement Planning'!$I$54-'Retirement Planning'!$I$61)*'Retirement Planning'!$I$56))))))/12,AA48)</f>
        <v>990.74216470505598</v>
      </c>
      <c r="AB49" s="104">
        <f t="shared" ca="1" si="21"/>
        <v>0.17760250409520181</v>
      </c>
      <c r="AC49" s="7">
        <f>IF(B49&lt;65,'Retirement Planning'!$J$28,0)</f>
        <v>583</v>
      </c>
      <c r="AD49" s="7">
        <f>IF(B49&lt;65,'Retirement Planning'!$J$29/12,0)</f>
        <v>291.66666666666669</v>
      </c>
      <c r="AE49" s="22">
        <f>'Retirement Planning'!$J$31/12</f>
        <v>58.333333333333336</v>
      </c>
      <c r="AF49" s="22">
        <f>'Retirement Planning'!$J$32/12</f>
        <v>66.666666666666671</v>
      </c>
      <c r="AG49" s="7">
        <f>IF($B49&gt;64.9,'Retirement Planning'!$J$39/12,0)</f>
        <v>0</v>
      </c>
      <c r="AH49" s="7">
        <f>IF($B49&gt;64.9,'Retirement Planning'!$J$40/12,0)</f>
        <v>0</v>
      </c>
      <c r="AI49" s="7">
        <f>IF($B49&gt;64.9,'Retirement Planning'!$J$41/12,0)</f>
        <v>0</v>
      </c>
      <c r="AJ49" s="7">
        <f t="shared" ca="1" si="6"/>
        <v>0</v>
      </c>
      <c r="AK49" s="3" t="str">
        <f t="shared" ca="1" si="7"/>
        <v>N/A</v>
      </c>
      <c r="AL49" s="6" t="str">
        <f t="shared" ca="1" si="8"/>
        <v>N/A</v>
      </c>
      <c r="AM49" s="7">
        <f t="shared" ca="1" si="9"/>
        <v>6.8212102632969618E-13</v>
      </c>
      <c r="AN49" s="7">
        <f t="shared" ca="1" si="10"/>
        <v>7746.3489642258919</v>
      </c>
      <c r="AO49" s="7">
        <f t="shared" si="11"/>
        <v>999.66666666666674</v>
      </c>
    </row>
    <row r="50" spans="1:41" x14ac:dyDescent="0.2">
      <c r="A50">
        <f t="shared" si="12"/>
        <v>50</v>
      </c>
      <c r="B50" s="5">
        <f t="shared" si="13"/>
        <v>59.6</v>
      </c>
      <c r="C50" s="56">
        <f t="shared" si="14"/>
        <v>47635</v>
      </c>
      <c r="D50" s="57">
        <f ca="1">IF(AND(B49&lt;59.5,OR(B50&gt;59.5,B50=59.5)),(D49-E49+J49-K49)*(1+'Retirement Planning'!$J$23/12),(D49-E49)*(1+'Retirement Planning'!$J$23/12))</f>
        <v>225375.83710949903</v>
      </c>
      <c r="E50" s="58">
        <f t="shared" ca="1" si="0"/>
        <v>692.20960372957597</v>
      </c>
      <c r="F50" s="57">
        <f ca="1">IF(AND(OR(B50&gt;59.5,B50=59.5),B49&lt;59.5),(F49-G49+L49-M49+N49-O49)*(1+'Retirement Planning'!$J$23/12),(F49-G49)*(1+'Retirement Planning'!$J$23/12))</f>
        <v>1038883.1693843213</v>
      </c>
      <c r="G50" s="58">
        <f ca="1">IF(AND($B$10&lt;55,B50&lt;59.5),'Retirement Planning'!$J$25,IF(OR(B50&gt;59.5,B50=59.5),MAX(0,MIN(F50,IF(D50&lt;2500,((Y50+AJ50+AA50))-X50,((Y50+AJ50+AA50)*'Retirement Planning'!$J$44)-X50))),0))</f>
        <v>5464.8126610229729</v>
      </c>
      <c r="H50" s="255">
        <f ca="1">IF(MONTH(C50)=1,IF(B50&gt;69.5,F50/(INDEX('Retirement Planning'!D$1:D$264,(160+INT(B50))))/12,0),IF(F50=0,0,H49))</f>
        <v>0</v>
      </c>
      <c r="I50" s="262">
        <f t="shared" ca="1" si="1"/>
        <v>0</v>
      </c>
      <c r="J50" s="254">
        <f>IF(AND(B49&lt;59.5,OR(B50=59.5,B50&gt;59.5)),0,(J49-K49)*(1+'Retirement Planning'!$J$23/12))</f>
        <v>0</v>
      </c>
      <c r="K50" s="58">
        <f t="shared" ca="1" si="2"/>
        <v>0</v>
      </c>
      <c r="L50" s="57">
        <f>IF(AND(OR(B50&gt;59.5,B50=59.5),B49&lt;59.5),0,(L49-M49)*(1+'Retirement Planning'!$J$23/12))</f>
        <v>0</v>
      </c>
      <c r="M50" s="59">
        <f>IF(AND($B$10&lt;55,B50&lt;59.5),0,IF(B50&lt;59.5,MAX(0,MIN((($Y50+$AJ50+AA50)*'Retirement Planning'!$J$44)-$G50-$X50,L50)),0))</f>
        <v>0</v>
      </c>
      <c r="N50" s="57">
        <f>(N49-O49)*(1+'Retirement Planning'!$J$23/12)</f>
        <v>0</v>
      </c>
      <c r="O50" s="59">
        <f ca="1">IF(B50&gt;59.5,MAX(0,MIN((AA50+$Y50+$AJ50)*(IF(D50&lt;(MIN(E38:E49)+1),1,'Retirement Planning'!$J$44))-M50-$G50-$X50-(IF(D50&lt;(MIN(E38:E49)+1),D50,0)),N50)),0)</f>
        <v>0</v>
      </c>
      <c r="P50" s="57">
        <f t="shared" si="15"/>
        <v>17846.666666666657</v>
      </c>
      <c r="Q50" s="58">
        <f t="shared" si="16"/>
        <v>641.33333333333337</v>
      </c>
      <c r="R50" s="57">
        <f ca="1">(R49-S49-T49)*(1+'Retirement Planning'!$J$23/12)</f>
        <v>208452.5696540917</v>
      </c>
      <c r="S50" s="58">
        <f t="shared" ca="1" si="17"/>
        <v>358.33333333333337</v>
      </c>
      <c r="T50" s="273">
        <f t="shared" ca="1" si="3"/>
        <v>3.4106051316484809E-13</v>
      </c>
      <c r="U50" s="57">
        <f ca="1">(U49-V49)*(1+'Retirement Planning'!$J$23/12)</f>
        <v>188689.03843967943</v>
      </c>
      <c r="V50" s="24">
        <f ca="1">IF(AND($B$10&lt;55,B50&lt;59.5),MIN(U50,MAX(0,(Y50+AA50+AJ50-G50)*'Retirement Planning'!$J$45)),IF(B50&lt;59.5,(MIN(U50,MAX(0,((Y50+AA50+AJ50)-G50-M50)*'Retirement Planning'!$J$45))),MIN(U50,MAX(0,(Y50+AA50+AJ50-G50-M50-K50-X50)*'Retirement Planning'!$J$45))))</f>
        <v>589.66003280667599</v>
      </c>
      <c r="W50" s="7">
        <f t="shared" ca="1" si="4"/>
        <v>1679247.2812542582</v>
      </c>
      <c r="X50" s="7">
        <f>(IF(B50&gt;'Retirement Planning'!$J$34,IF('Retirement Planning'!$J$34=70,'Retirement Planning'!$J$37/12,IF('Retirement Planning'!$J$34=67,'Retirement Planning'!$J$36/12,'Retirement Planning'!$J$35/12)),0))*'Retirement Planning'!$J$38</f>
        <v>0</v>
      </c>
      <c r="Y50" s="7">
        <f ca="1">'Retirement Planning'!$F$35*((1+'Retirement Planning'!$J$24)^(YEAR('Projected Retirement Drawdown'!C50)-YEAR(TODAY())))</f>
        <v>5755.940132854169</v>
      </c>
      <c r="Z50" s="7">
        <f ca="1">G50+M50+O50+0.85*X50+V50*'Retirement Planning'!$J$46+T50</f>
        <v>5789.1256790666448</v>
      </c>
      <c r="AA50" s="7">
        <f ca="1">IF(MONTH(C50)=1,(((MIN(MAX(0,((SUM(Z38:Z49)-'Retirement Planning'!$I$53-'Retirement Planning'!$I$54)-'Retirement Planning'!$J$51)*'Retirement Planning'!$I$52))))+(MIN(MAX(0,((SUM(Z38:Z49)-'Retirement Planning'!$I$53-'Retirement Planning'!$I$54)-'Retirement Planning'!$J$50)*'Retirement Planning'!$I$51),('Retirement Planning'!$J$51-'Retirement Planning'!$J$50)*'Retirement Planning'!$I$51))+(MIN(MAX(0,((SUM(Z38:Z49)-'Retirement Planning'!$I$53-'Retirement Planning'!$I$54)-'Retirement Planning'!$J$49)*'Retirement Planning'!$I$50),('Retirement Planning'!$J$50-'Retirement Planning'!$J$49)*'Retirement Planning'!$I$50)+MIN(MAX(0,((SUM(Z38:Z49)-'Retirement Planning'!$I$53-'Retirement Planning'!$I$54)-'Retirement Planning'!$J$48)*'Retirement Planning'!$I$49),('Retirement Planning'!$J$49-'Retirement Planning'!$J$48)*'Retirement Planning'!$I$49)+MIN(((SUM(Z38:Z49)-'Retirement Planning'!$I$53-'Retirement Planning'!$I$54))*'Retirement Planning'!$I$48,('Retirement Planning'!$J$48)*'Retirement Planning'!$I$48))+(IF((SUM(Z38:Z49)-'Retirement Planning'!$I$54-'Retirement Planning'!$I$61)&gt;'Retirement Planning'!$J$59,(SUM(Z38:Z49)-'Retirement Planning'!$I$54-'Retirement Planning'!$I$61-'Retirement Planning'!$J$59)*'Retirement Planning'!$I$60+'Retirement Planning'!$K$59,IF((SUM(Z38:Z49)-'Retirement Planning'!$I$54-'Retirement Planning'!$I$61)&gt;'Retirement Planning'!$J$58,(SUM(Z38:Z49)-'Retirement Planning'!$I$54-'Retirement Planning'!$I$61-'Retirement Planning'!$J$58)*'Retirement Planning'!$I$59+'Retirement Planning'!$K$58,IF((SUM(Z38:Z49)-'Retirement Planning'!$I$54-'Retirement Planning'!$I$61)&gt;'Retirement Planning'!$J$57,(SUM(Z38:Z49)-'Retirement Planning'!$I$54-'Retirement Planning'!$I$61-'Retirement Planning'!$J$57)*'Retirement Planning'!$I$58+'Retirement Planning'!$K$57,IF((SUM(Z38:Z49)-'Retirement Planning'!$I$54-'Retirement Planning'!$I$61)&gt;'Retirement Planning'!$J$56,(SUM(Z38:Z49)-'Retirement Planning'!$I$54-'Retirement Planning'!$I$61-'Retirement Planning'!$J$56)*'Retirement Planning'!$I$57+'Retirement Planning'!$K$56,(SUM(Z38:Z49)-'Retirement Planning'!$I$54-'Retirement Planning'!$I$61)*'Retirement Planning'!$I$56))))))/12,AA49)</f>
        <v>990.74216470505598</v>
      </c>
      <c r="AB50" s="104">
        <f t="shared" ca="1" si="21"/>
        <v>0.17760250409520181</v>
      </c>
      <c r="AC50" s="7">
        <f>IF(B50&lt;65,'Retirement Planning'!$J$28,0)</f>
        <v>583</v>
      </c>
      <c r="AD50" s="7">
        <f>IF(B50&lt;65,'Retirement Planning'!$J$29/12,0)</f>
        <v>291.66666666666669</v>
      </c>
      <c r="AE50" s="22">
        <f>'Retirement Planning'!$J$31/12</f>
        <v>58.333333333333336</v>
      </c>
      <c r="AF50" s="22">
        <f>'Retirement Planning'!$J$32/12</f>
        <v>66.666666666666671</v>
      </c>
      <c r="AG50" s="7">
        <f>IF($B50&gt;64.9,'Retirement Planning'!$J$39/12,0)</f>
        <v>0</v>
      </c>
      <c r="AH50" s="7">
        <f>IF($B50&gt;64.9,'Retirement Planning'!$J$40/12,0)</f>
        <v>0</v>
      </c>
      <c r="AI50" s="7">
        <f>IF($B50&gt;64.9,'Retirement Planning'!$J$41/12,0)</f>
        <v>0</v>
      </c>
      <c r="AJ50" s="7">
        <f t="shared" ca="1" si="6"/>
        <v>0</v>
      </c>
      <c r="AK50" s="3" t="str">
        <f t="shared" ca="1" si="7"/>
        <v>N/A</v>
      </c>
      <c r="AL50" s="6" t="str">
        <f t="shared" ca="1" si="8"/>
        <v>N/A</v>
      </c>
      <c r="AM50" s="7">
        <f t="shared" ca="1" si="9"/>
        <v>6.8212102632969618E-13</v>
      </c>
      <c r="AN50" s="7">
        <f t="shared" ca="1" si="10"/>
        <v>7746.3489642258919</v>
      </c>
      <c r="AO50" s="7">
        <f t="shared" si="11"/>
        <v>999.66666666666674</v>
      </c>
    </row>
    <row r="51" spans="1:41" x14ac:dyDescent="0.2">
      <c r="A51">
        <f t="shared" si="12"/>
        <v>50</v>
      </c>
      <c r="B51" s="5">
        <f t="shared" si="13"/>
        <v>59.7</v>
      </c>
      <c r="C51" s="56">
        <f t="shared" si="14"/>
        <v>47665</v>
      </c>
      <c r="D51" s="57">
        <f ca="1">IF(AND(B50&lt;59.5,OR(B51&gt;59.5,B51=59.5)),(D50-E50+J50-K50)*(1+'Retirement Planning'!$J$23/12),(D50-E50)*(1+'Retirement Planning'!$J$23/12))</f>
        <v>226275.13653393532</v>
      </c>
      <c r="E51" s="58">
        <f t="shared" ca="1" si="0"/>
        <v>692.20960372957597</v>
      </c>
      <c r="F51" s="57">
        <f ca="1">IF(AND(OR(B51&gt;59.5,B51=59.5),B50&lt;59.5),(F50-G50+L50-M50+N50-O50)*(1+'Retirement Planning'!$J$23/12),(F50-G50)*(1+'Retirement Planning'!$J$23/12))</f>
        <v>1040738.403416755</v>
      </c>
      <c r="G51" s="58">
        <f ca="1">IF(AND($B$10&lt;55,B51&lt;59.5),'Retirement Planning'!$J$25,IF(OR(B51&gt;59.5,B51=59.5),MAX(0,MIN(F51,IF(D51&lt;2500,((Y51+AJ51+AA51))-X51,((Y51+AJ51+AA51)*'Retirement Planning'!$J$44)-X51))),0))</f>
        <v>5464.8126610229729</v>
      </c>
      <c r="H51" s="255">
        <f ca="1">IF(MONTH(C51)=1,IF(B51&gt;69.5,F51/(INDEX('Retirement Planning'!D$1:D$264,(160+INT(B51))))/12,0),IF(F51=0,0,H50))</f>
        <v>0</v>
      </c>
      <c r="I51" s="262">
        <f t="shared" ca="1" si="1"/>
        <v>0</v>
      </c>
      <c r="J51" s="254">
        <f ca="1">IF(AND(B50&lt;59.5,OR(B51=59.5,B51&gt;59.5)),0,(J50-K50)*(1+'Retirement Planning'!$J$23/12))</f>
        <v>0</v>
      </c>
      <c r="K51" s="58">
        <f t="shared" ca="1" si="2"/>
        <v>0</v>
      </c>
      <c r="L51" s="57">
        <f>IF(AND(OR(B51&gt;59.5,B51=59.5),B50&lt;59.5),0,(L50-M50)*(1+'Retirement Planning'!$J$23/12))</f>
        <v>0</v>
      </c>
      <c r="M51" s="59">
        <f>IF(AND($B$10&lt;55,B51&lt;59.5),0,IF(B51&lt;59.5,MAX(0,MIN((($Y51+$AJ51+AA51)*'Retirement Planning'!$J$44)-$G51-$X51,L51)),0))</f>
        <v>0</v>
      </c>
      <c r="N51" s="57">
        <f ca="1">(N50-O50)*(1+'Retirement Planning'!$J$23/12)</f>
        <v>0</v>
      </c>
      <c r="O51" s="59">
        <f ca="1">IF(B51&gt;59.5,MAX(0,MIN((AA51+$Y51+$AJ51)*(IF(D51&lt;(MIN(E39:E50)+1),1,'Retirement Planning'!$J$44))-M51-$G51-$X51-(IF(D51&lt;(MIN(E39:E50)+1),D51,0)),N51)),0)</f>
        <v>0</v>
      </c>
      <c r="P51" s="57">
        <f t="shared" si="15"/>
        <v>17205.333333333325</v>
      </c>
      <c r="Q51" s="58">
        <f t="shared" si="16"/>
        <v>641.33333333333337</v>
      </c>
      <c r="R51" s="57">
        <f ca="1">(R50-S50-T50)*(1+'Retirement Planning'!$J$23/12)</f>
        <v>209568.23716136374</v>
      </c>
      <c r="S51" s="58">
        <f t="shared" ca="1" si="17"/>
        <v>358.33333333333337</v>
      </c>
      <c r="T51" s="273">
        <f t="shared" ca="1" si="3"/>
        <v>3.4106051316484809E-13</v>
      </c>
      <c r="U51" s="57">
        <f ca="1">(U50-V50)*(1+'Retirement Planning'!$J$23/12)</f>
        <v>189431.74900392143</v>
      </c>
      <c r="V51" s="24">
        <f ca="1">IF(AND($B$10&lt;55,B51&lt;59.5),MIN(U51,MAX(0,(Y51+AA51+AJ51-G51)*'Retirement Planning'!$J$45)),IF(B51&lt;59.5,(MIN(U51,MAX(0,((Y51+AA51+AJ51)-G51-M51)*'Retirement Planning'!$J$45))),MIN(U51,MAX(0,(Y51+AA51+AJ51-G51-M51-K51-X51)*'Retirement Planning'!$J$45))))</f>
        <v>589.66003280667599</v>
      </c>
      <c r="W51" s="7">
        <f t="shared" ca="1" si="4"/>
        <v>1683218.8594493086</v>
      </c>
      <c r="X51" s="7">
        <f>(IF(B51&gt;'Retirement Planning'!$J$34,IF('Retirement Planning'!$J$34=70,'Retirement Planning'!$J$37/12,IF('Retirement Planning'!$J$34=67,'Retirement Planning'!$J$36/12,'Retirement Planning'!$J$35/12)),0))*'Retirement Planning'!$J$38</f>
        <v>0</v>
      </c>
      <c r="Y51" s="7">
        <f ca="1">'Retirement Planning'!$F$35*((1+'Retirement Planning'!$J$24)^(YEAR('Projected Retirement Drawdown'!C51)-YEAR(TODAY())))</f>
        <v>5755.940132854169</v>
      </c>
      <c r="Z51" s="7">
        <f ca="1">G51+M51+O51+0.85*X51+V51*'Retirement Planning'!$J$46+T51</f>
        <v>5789.1256790666448</v>
      </c>
      <c r="AA51" s="7">
        <f ca="1">IF(MONTH(C51)=1,(((MIN(MAX(0,((SUM(Z39:Z50)-'Retirement Planning'!$I$53-'Retirement Planning'!$I$54)-'Retirement Planning'!$J$51)*'Retirement Planning'!$I$52))))+(MIN(MAX(0,((SUM(Z39:Z50)-'Retirement Planning'!$I$53-'Retirement Planning'!$I$54)-'Retirement Planning'!$J$50)*'Retirement Planning'!$I$51),('Retirement Planning'!$J$51-'Retirement Planning'!$J$50)*'Retirement Planning'!$I$51))+(MIN(MAX(0,((SUM(Z39:Z50)-'Retirement Planning'!$I$53-'Retirement Planning'!$I$54)-'Retirement Planning'!$J$49)*'Retirement Planning'!$I$50),('Retirement Planning'!$J$50-'Retirement Planning'!$J$49)*'Retirement Planning'!$I$50)+MIN(MAX(0,((SUM(Z39:Z50)-'Retirement Planning'!$I$53-'Retirement Planning'!$I$54)-'Retirement Planning'!$J$48)*'Retirement Planning'!$I$49),('Retirement Planning'!$J$49-'Retirement Planning'!$J$48)*'Retirement Planning'!$I$49)+MIN(((SUM(Z39:Z50)-'Retirement Planning'!$I$53-'Retirement Planning'!$I$54))*'Retirement Planning'!$I$48,('Retirement Planning'!$J$48)*'Retirement Planning'!$I$48))+(IF((SUM(Z39:Z50)-'Retirement Planning'!$I$54-'Retirement Planning'!$I$61)&gt;'Retirement Planning'!$J$59,(SUM(Z39:Z50)-'Retirement Planning'!$I$54-'Retirement Planning'!$I$61-'Retirement Planning'!$J$59)*'Retirement Planning'!$I$60+'Retirement Planning'!$K$59,IF((SUM(Z39:Z50)-'Retirement Planning'!$I$54-'Retirement Planning'!$I$61)&gt;'Retirement Planning'!$J$58,(SUM(Z39:Z50)-'Retirement Planning'!$I$54-'Retirement Planning'!$I$61-'Retirement Planning'!$J$58)*'Retirement Planning'!$I$59+'Retirement Planning'!$K$58,IF((SUM(Z39:Z50)-'Retirement Planning'!$I$54-'Retirement Planning'!$I$61)&gt;'Retirement Planning'!$J$57,(SUM(Z39:Z50)-'Retirement Planning'!$I$54-'Retirement Planning'!$I$61-'Retirement Planning'!$J$57)*'Retirement Planning'!$I$58+'Retirement Planning'!$K$57,IF((SUM(Z39:Z50)-'Retirement Planning'!$I$54-'Retirement Planning'!$I$61)&gt;'Retirement Planning'!$J$56,(SUM(Z39:Z50)-'Retirement Planning'!$I$54-'Retirement Planning'!$I$61-'Retirement Planning'!$J$56)*'Retirement Planning'!$I$57+'Retirement Planning'!$K$56,(SUM(Z39:Z50)-'Retirement Planning'!$I$54-'Retirement Planning'!$I$61)*'Retirement Planning'!$I$56))))))/12,AA50)</f>
        <v>990.74216470505598</v>
      </c>
      <c r="AB51" s="104">
        <f t="shared" ca="1" si="21"/>
        <v>0.17760250409520181</v>
      </c>
      <c r="AC51" s="7">
        <f>IF(B51&lt;65,'Retirement Planning'!$J$28,0)</f>
        <v>583</v>
      </c>
      <c r="AD51" s="7">
        <f>IF(B51&lt;65,'Retirement Planning'!$J$29/12,0)</f>
        <v>291.66666666666669</v>
      </c>
      <c r="AE51" s="22">
        <f>'Retirement Planning'!$J$31/12</f>
        <v>58.333333333333336</v>
      </c>
      <c r="AF51" s="22">
        <f>'Retirement Planning'!$J$32/12</f>
        <v>66.666666666666671</v>
      </c>
      <c r="AG51" s="7">
        <f>IF($B51&gt;64.9,'Retirement Planning'!$J$39/12,0)</f>
        <v>0</v>
      </c>
      <c r="AH51" s="7">
        <f>IF($B51&gt;64.9,'Retirement Planning'!$J$40/12,0)</f>
        <v>0</v>
      </c>
      <c r="AI51" s="7">
        <f>IF($B51&gt;64.9,'Retirement Planning'!$J$41/12,0)</f>
        <v>0</v>
      </c>
      <c r="AJ51" s="7">
        <f t="shared" ca="1" si="6"/>
        <v>0</v>
      </c>
      <c r="AK51" s="3" t="str">
        <f t="shared" ca="1" si="7"/>
        <v>N/A</v>
      </c>
      <c r="AL51" s="6" t="str">
        <f t="shared" ca="1" si="8"/>
        <v>N/A</v>
      </c>
      <c r="AM51" s="7">
        <f t="shared" ca="1" si="9"/>
        <v>6.8212102632969618E-13</v>
      </c>
      <c r="AN51" s="7">
        <f t="shared" ca="1" si="10"/>
        <v>7746.3489642258919</v>
      </c>
      <c r="AO51" s="7">
        <f t="shared" si="11"/>
        <v>999.66666666666674</v>
      </c>
    </row>
    <row r="52" spans="1:41" x14ac:dyDescent="0.2">
      <c r="A52">
        <f t="shared" si="12"/>
        <v>50</v>
      </c>
      <c r="B52" s="5">
        <f t="shared" si="13"/>
        <v>59.8</v>
      </c>
      <c r="C52" s="56">
        <f t="shared" si="14"/>
        <v>47696</v>
      </c>
      <c r="D52" s="57">
        <f ca="1">IF(AND(B51&lt;59.5,OR(B52&gt;59.5,B52=59.5)),(D51-E51+J51-K51)*(1+'Retirement Planning'!$J$23/12),(D51-E51)*(1+'Retirement Planning'!$J$23/12))</f>
        <v>227180.80599596136</v>
      </c>
      <c r="E52" s="58">
        <f t="shared" ca="1" si="0"/>
        <v>692.20960372957597</v>
      </c>
      <c r="F52" s="57">
        <f ca="1">IF(AND(OR(B52&gt;59.5,B52=59.5),B51&lt;59.5),(F51-G51+L51-M51+N51-O51)*(1+'Retirement Planning'!$J$23/12),(F51-G51)*(1+'Retirement Planning'!$J$23/12))</f>
        <v>1042606.7786902518</v>
      </c>
      <c r="G52" s="58">
        <f ca="1">IF(AND($B$10&lt;55,B52&lt;59.5),'Retirement Planning'!$J$25,IF(OR(B52&gt;59.5,B52=59.5),MAX(0,MIN(F52,IF(D52&lt;2500,((Y52+AJ52+AA52))-X52,((Y52+AJ52+AA52)*'Retirement Planning'!$J$44)-X52))),0))</f>
        <v>5464.8126610229729</v>
      </c>
      <c r="H52" s="255">
        <f ca="1">IF(MONTH(C52)=1,IF(B52&gt;69.5,F52/(INDEX('Retirement Planning'!D$1:D$264,(160+INT(B52))))/12,0),IF(F52=0,0,H51))</f>
        <v>0</v>
      </c>
      <c r="I52" s="262">
        <f t="shared" ca="1" si="1"/>
        <v>0</v>
      </c>
      <c r="J52" s="254">
        <f ca="1">IF(AND(B51&lt;59.5,OR(B52=59.5,B52&gt;59.5)),0,(J51-K51)*(1+'Retirement Planning'!$J$23/12))</f>
        <v>0</v>
      </c>
      <c r="K52" s="58">
        <f t="shared" ca="1" si="2"/>
        <v>0</v>
      </c>
      <c r="L52" s="57">
        <f>IF(AND(OR(B52&gt;59.5,B52=59.5),B51&lt;59.5),0,(L51-M51)*(1+'Retirement Planning'!$J$23/12))</f>
        <v>0</v>
      </c>
      <c r="M52" s="59">
        <f>IF(AND($B$10&lt;55,B52&lt;59.5),0,IF(B52&lt;59.5,MAX(0,MIN((($Y52+$AJ52+AA52)*'Retirement Planning'!$J$44)-$G52-$X52,L52)),0))</f>
        <v>0</v>
      </c>
      <c r="N52" s="57">
        <f ca="1">(N51-O51)*(1+'Retirement Planning'!$J$23/12)</f>
        <v>0</v>
      </c>
      <c r="O52" s="59">
        <f ca="1">IF(B52&gt;59.5,MAX(0,MIN((AA52+$Y52+$AJ52)*(IF(D52&lt;(MIN(E40:E51)+1),1,'Retirement Planning'!$J$44))-M52-$G52-$X52-(IF(D52&lt;(MIN(E40:E51)+1),D52,0)),N52)),0)</f>
        <v>0</v>
      </c>
      <c r="P52" s="57">
        <f t="shared" si="15"/>
        <v>16563.999999999993</v>
      </c>
      <c r="Q52" s="58">
        <f t="shared" si="16"/>
        <v>641.33333333333337</v>
      </c>
      <c r="R52" s="57">
        <f ca="1">(R51-S51-T51)*(1+'Retirement Planning'!$J$23/12)</f>
        <v>210691.80731347893</v>
      </c>
      <c r="S52" s="58">
        <f t="shared" ca="1" si="17"/>
        <v>358.33333333333337</v>
      </c>
      <c r="T52" s="273">
        <f t="shared" ca="1" si="3"/>
        <v>3.4106051316484809E-13</v>
      </c>
      <c r="U52" s="57">
        <f ca="1">(U51-V51)*(1+'Retirement Planning'!$J$23/12)</f>
        <v>190179.72043466015</v>
      </c>
      <c r="V52" s="24">
        <f ca="1">IF(AND($B$10&lt;55,B52&lt;59.5),MIN(U52,MAX(0,(Y52+AA52+AJ52-G52)*'Retirement Planning'!$J$45)),IF(B52&lt;59.5,(MIN(U52,MAX(0,((Y52+AA52+AJ52)-G52-M52)*'Retirement Planning'!$J$45))),MIN(U52,MAX(0,(Y52+AA52+AJ52-G52-M52-K52-X52)*'Retirement Planning'!$J$45))))</f>
        <v>589.66003280667599</v>
      </c>
      <c r="W52" s="7">
        <f t="shared" ca="1" si="4"/>
        <v>1687223.1124343523</v>
      </c>
      <c r="X52" s="7">
        <f>(IF(B52&gt;'Retirement Planning'!$J$34,IF('Retirement Planning'!$J$34=70,'Retirement Planning'!$J$37/12,IF('Retirement Planning'!$J$34=67,'Retirement Planning'!$J$36/12,'Retirement Planning'!$J$35/12)),0))*'Retirement Planning'!$J$38</f>
        <v>0</v>
      </c>
      <c r="Y52" s="7">
        <f ca="1">'Retirement Planning'!$F$35*((1+'Retirement Planning'!$J$24)^(YEAR('Projected Retirement Drawdown'!C52)-YEAR(TODAY())))</f>
        <v>5755.940132854169</v>
      </c>
      <c r="Z52" s="7">
        <f ca="1">G52+M52+O52+0.85*X52+V52*'Retirement Planning'!$J$46+T52</f>
        <v>5789.1256790666448</v>
      </c>
      <c r="AA52" s="7">
        <f ca="1">IF(MONTH(C52)=1,(((MIN(MAX(0,((SUM(Z40:Z51)-'Retirement Planning'!$I$53-'Retirement Planning'!$I$54)-'Retirement Planning'!$J$51)*'Retirement Planning'!$I$52))))+(MIN(MAX(0,((SUM(Z40:Z51)-'Retirement Planning'!$I$53-'Retirement Planning'!$I$54)-'Retirement Planning'!$J$50)*'Retirement Planning'!$I$51),('Retirement Planning'!$J$51-'Retirement Planning'!$J$50)*'Retirement Planning'!$I$51))+(MIN(MAX(0,((SUM(Z40:Z51)-'Retirement Planning'!$I$53-'Retirement Planning'!$I$54)-'Retirement Planning'!$J$49)*'Retirement Planning'!$I$50),('Retirement Planning'!$J$50-'Retirement Planning'!$J$49)*'Retirement Planning'!$I$50)+MIN(MAX(0,((SUM(Z40:Z51)-'Retirement Planning'!$I$53-'Retirement Planning'!$I$54)-'Retirement Planning'!$J$48)*'Retirement Planning'!$I$49),('Retirement Planning'!$J$49-'Retirement Planning'!$J$48)*'Retirement Planning'!$I$49)+MIN(((SUM(Z40:Z51)-'Retirement Planning'!$I$53-'Retirement Planning'!$I$54))*'Retirement Planning'!$I$48,('Retirement Planning'!$J$48)*'Retirement Planning'!$I$48))+(IF((SUM(Z40:Z51)-'Retirement Planning'!$I$54-'Retirement Planning'!$I$61)&gt;'Retirement Planning'!$J$59,(SUM(Z40:Z51)-'Retirement Planning'!$I$54-'Retirement Planning'!$I$61-'Retirement Planning'!$J$59)*'Retirement Planning'!$I$60+'Retirement Planning'!$K$59,IF((SUM(Z40:Z51)-'Retirement Planning'!$I$54-'Retirement Planning'!$I$61)&gt;'Retirement Planning'!$J$58,(SUM(Z40:Z51)-'Retirement Planning'!$I$54-'Retirement Planning'!$I$61-'Retirement Planning'!$J$58)*'Retirement Planning'!$I$59+'Retirement Planning'!$K$58,IF((SUM(Z40:Z51)-'Retirement Planning'!$I$54-'Retirement Planning'!$I$61)&gt;'Retirement Planning'!$J$57,(SUM(Z40:Z51)-'Retirement Planning'!$I$54-'Retirement Planning'!$I$61-'Retirement Planning'!$J$57)*'Retirement Planning'!$I$58+'Retirement Planning'!$K$57,IF((SUM(Z40:Z51)-'Retirement Planning'!$I$54-'Retirement Planning'!$I$61)&gt;'Retirement Planning'!$J$56,(SUM(Z40:Z51)-'Retirement Planning'!$I$54-'Retirement Planning'!$I$61-'Retirement Planning'!$J$56)*'Retirement Planning'!$I$57+'Retirement Planning'!$K$56,(SUM(Z40:Z51)-'Retirement Planning'!$I$54-'Retirement Planning'!$I$61)*'Retirement Planning'!$I$56))))))/12,AA51)</f>
        <v>990.74216470505598</v>
      </c>
      <c r="AB52" s="104">
        <f t="shared" ca="1" si="21"/>
        <v>0.17760250409520181</v>
      </c>
      <c r="AC52" s="7">
        <f>IF(B52&lt;65,'Retirement Planning'!$J$28,0)</f>
        <v>583</v>
      </c>
      <c r="AD52" s="7">
        <f>IF(B52&lt;65,'Retirement Planning'!$J$29/12,0)</f>
        <v>291.66666666666669</v>
      </c>
      <c r="AE52" s="22">
        <f>'Retirement Planning'!$J$31/12</f>
        <v>58.333333333333336</v>
      </c>
      <c r="AF52" s="22">
        <f>'Retirement Planning'!$J$32/12</f>
        <v>66.666666666666671</v>
      </c>
      <c r="AG52" s="7">
        <f>IF($B52&gt;64.9,'Retirement Planning'!$J$39/12,0)</f>
        <v>0</v>
      </c>
      <c r="AH52" s="7">
        <f>IF($B52&gt;64.9,'Retirement Planning'!$J$40/12,0)</f>
        <v>0</v>
      </c>
      <c r="AI52" s="7">
        <f>IF($B52&gt;64.9,'Retirement Planning'!$J$41/12,0)</f>
        <v>0</v>
      </c>
      <c r="AJ52" s="7">
        <f t="shared" ca="1" si="6"/>
        <v>0</v>
      </c>
      <c r="AK52" s="3" t="str">
        <f t="shared" ca="1" si="7"/>
        <v>N/A</v>
      </c>
      <c r="AL52" s="6" t="str">
        <f t="shared" ca="1" si="8"/>
        <v>N/A</v>
      </c>
      <c r="AM52" s="7">
        <f t="shared" ca="1" si="9"/>
        <v>6.8212102632969618E-13</v>
      </c>
      <c r="AN52" s="7">
        <f t="shared" ca="1" si="10"/>
        <v>7746.3489642258919</v>
      </c>
      <c r="AO52" s="7">
        <f t="shared" si="11"/>
        <v>999.66666666666674</v>
      </c>
    </row>
    <row r="53" spans="1:41" x14ac:dyDescent="0.2">
      <c r="A53">
        <f t="shared" si="12"/>
        <v>50</v>
      </c>
      <c r="B53" s="5">
        <f t="shared" si="13"/>
        <v>59.9</v>
      </c>
      <c r="C53" s="56">
        <f t="shared" si="14"/>
        <v>47727</v>
      </c>
      <c r="D53" s="57">
        <f ca="1">IF(AND(B52&lt;59.5,OR(B53&gt;59.5,B53=59.5)),(D52-E52+J52-K52)*(1+'Retirement Planning'!$J$23/12),(D52-E52)*(1+'Retirement Planning'!$J$23/12))</f>
        <v>228092.89061667677</v>
      </c>
      <c r="E53" s="58">
        <f t="shared" ca="1" si="0"/>
        <v>692.20960372957597</v>
      </c>
      <c r="F53" s="57">
        <f ca="1">IF(AND(OR(B53&gt;59.5,B53=59.5),B52&lt;59.5),(F52-G52+L52-M52+N52-O52)*(1+'Retirement Planning'!$J$23/12),(F52-G52)*(1+'Retirement Planning'!$J$23/12))</f>
        <v>1044488.3882886025</v>
      </c>
      <c r="G53" s="58">
        <f ca="1">IF(AND($B$10&lt;55,B53&lt;59.5),'Retirement Planning'!$J$25,IF(OR(B53&gt;59.5,B53=59.5),MAX(0,MIN(F53,IF(D53&lt;2500,((Y53+AJ53+AA53))-X53,((Y53+AJ53+AA53)*'Retirement Planning'!$J$44)-X53))),0))</f>
        <v>5464.8126610229729</v>
      </c>
      <c r="H53" s="255">
        <f ca="1">IF(MONTH(C53)=1,IF(B53&gt;69.5,F53/(INDEX('Retirement Planning'!D$1:D$264,(160+INT(B53))))/12,0),IF(F53=0,0,H52))</f>
        <v>0</v>
      </c>
      <c r="I53" s="262">
        <f t="shared" ca="1" si="1"/>
        <v>0</v>
      </c>
      <c r="J53" s="254">
        <f ca="1">IF(AND(B52&lt;59.5,OR(B53=59.5,B53&gt;59.5)),0,(J52-K52)*(1+'Retirement Planning'!$J$23/12))</f>
        <v>0</v>
      </c>
      <c r="K53" s="58">
        <f t="shared" ca="1" si="2"/>
        <v>0</v>
      </c>
      <c r="L53" s="57">
        <f>IF(AND(OR(B53&gt;59.5,B53=59.5),B52&lt;59.5),0,(L52-M52)*(1+'Retirement Planning'!$J$23/12))</f>
        <v>0</v>
      </c>
      <c r="M53" s="59">
        <f>IF(AND($B$10&lt;55,B53&lt;59.5),0,IF(B53&lt;59.5,MAX(0,MIN((($Y53+$AJ53+AA53)*'Retirement Planning'!$J$44)-$G53-$X53,L53)),0))</f>
        <v>0</v>
      </c>
      <c r="N53" s="57">
        <f ca="1">(N52-O52)*(1+'Retirement Planning'!$J$23/12)</f>
        <v>0</v>
      </c>
      <c r="O53" s="59">
        <f ca="1">IF(B53&gt;59.5,MAX(0,MIN((AA53+$Y53+$AJ53)*(IF(D53&lt;(MIN(E41:E52)+1),1,'Retirement Planning'!$J$44))-M53-$G53-$X53-(IF(D53&lt;(MIN(E41:E52)+1),D53,0)),N53)),0)</f>
        <v>0</v>
      </c>
      <c r="P53" s="57">
        <f t="shared" si="15"/>
        <v>15922.666666666659</v>
      </c>
      <c r="Q53" s="58">
        <f t="shared" si="16"/>
        <v>641.33333333333337</v>
      </c>
      <c r="R53" s="57">
        <f ca="1">(R52-S52-T52)*(1+'Retirement Planning'!$J$23/12)</f>
        <v>211823.33608750495</v>
      </c>
      <c r="S53" s="58">
        <f t="shared" ca="1" si="17"/>
        <v>358.33333333333337</v>
      </c>
      <c r="T53" s="273">
        <f t="shared" ca="1" si="3"/>
        <v>3.4106051316484809E-13</v>
      </c>
      <c r="U53" s="57">
        <f ca="1">(U52-V52)*(1+'Retirement Planning'!$J$23/12)</f>
        <v>190932.98999636658</v>
      </c>
      <c r="V53" s="24">
        <f ca="1">IF(AND($B$10&lt;55,B53&lt;59.5),MIN(U53,MAX(0,(Y53+AA53+AJ53-G53)*'Retirement Planning'!$J$45)),IF(B53&lt;59.5,(MIN(U53,MAX(0,((Y53+AA53+AJ53)-G53-M53)*'Retirement Planning'!$J$45))),MIN(U53,MAX(0,(Y53+AA53+AJ53-G53-M53-K53-X53)*'Retirement Planning'!$J$45))))</f>
        <v>589.66003280667599</v>
      </c>
      <c r="W53" s="7">
        <f t="shared" ca="1" si="4"/>
        <v>1691260.2716558175</v>
      </c>
      <c r="X53" s="7">
        <f>(IF(B53&gt;'Retirement Planning'!$J$34,IF('Retirement Planning'!$J$34=70,'Retirement Planning'!$J$37/12,IF('Retirement Planning'!$J$34=67,'Retirement Planning'!$J$36/12,'Retirement Planning'!$J$35/12)),0))*'Retirement Planning'!$J$38</f>
        <v>0</v>
      </c>
      <c r="Y53" s="7">
        <f ca="1">'Retirement Planning'!$F$35*((1+'Retirement Planning'!$J$24)^(YEAR('Projected Retirement Drawdown'!C53)-YEAR(TODAY())))</f>
        <v>5755.940132854169</v>
      </c>
      <c r="Z53" s="7">
        <f ca="1">G53+M53+O53+0.85*X53+V53*'Retirement Planning'!$J$46+T53</f>
        <v>5789.1256790666448</v>
      </c>
      <c r="AA53" s="7">
        <f ca="1">IF(MONTH(C53)=1,(((MIN(MAX(0,((SUM(Z41:Z52)-'Retirement Planning'!$I$53-'Retirement Planning'!$I$54)-'Retirement Planning'!$J$51)*'Retirement Planning'!$I$52))))+(MIN(MAX(0,((SUM(Z41:Z52)-'Retirement Planning'!$I$53-'Retirement Planning'!$I$54)-'Retirement Planning'!$J$50)*'Retirement Planning'!$I$51),('Retirement Planning'!$J$51-'Retirement Planning'!$J$50)*'Retirement Planning'!$I$51))+(MIN(MAX(0,((SUM(Z41:Z52)-'Retirement Planning'!$I$53-'Retirement Planning'!$I$54)-'Retirement Planning'!$J$49)*'Retirement Planning'!$I$50),('Retirement Planning'!$J$50-'Retirement Planning'!$J$49)*'Retirement Planning'!$I$50)+MIN(MAX(0,((SUM(Z41:Z52)-'Retirement Planning'!$I$53-'Retirement Planning'!$I$54)-'Retirement Planning'!$J$48)*'Retirement Planning'!$I$49),('Retirement Planning'!$J$49-'Retirement Planning'!$J$48)*'Retirement Planning'!$I$49)+MIN(((SUM(Z41:Z52)-'Retirement Planning'!$I$53-'Retirement Planning'!$I$54))*'Retirement Planning'!$I$48,('Retirement Planning'!$J$48)*'Retirement Planning'!$I$48))+(IF((SUM(Z41:Z52)-'Retirement Planning'!$I$54-'Retirement Planning'!$I$61)&gt;'Retirement Planning'!$J$59,(SUM(Z41:Z52)-'Retirement Planning'!$I$54-'Retirement Planning'!$I$61-'Retirement Planning'!$J$59)*'Retirement Planning'!$I$60+'Retirement Planning'!$K$59,IF((SUM(Z41:Z52)-'Retirement Planning'!$I$54-'Retirement Planning'!$I$61)&gt;'Retirement Planning'!$J$58,(SUM(Z41:Z52)-'Retirement Planning'!$I$54-'Retirement Planning'!$I$61-'Retirement Planning'!$J$58)*'Retirement Planning'!$I$59+'Retirement Planning'!$K$58,IF((SUM(Z41:Z52)-'Retirement Planning'!$I$54-'Retirement Planning'!$I$61)&gt;'Retirement Planning'!$J$57,(SUM(Z41:Z52)-'Retirement Planning'!$I$54-'Retirement Planning'!$I$61-'Retirement Planning'!$J$57)*'Retirement Planning'!$I$58+'Retirement Planning'!$K$57,IF((SUM(Z41:Z52)-'Retirement Planning'!$I$54-'Retirement Planning'!$I$61)&gt;'Retirement Planning'!$J$56,(SUM(Z41:Z52)-'Retirement Planning'!$I$54-'Retirement Planning'!$I$61-'Retirement Planning'!$J$56)*'Retirement Planning'!$I$57+'Retirement Planning'!$K$56,(SUM(Z41:Z52)-'Retirement Planning'!$I$54-'Retirement Planning'!$I$61)*'Retirement Planning'!$I$56))))))/12,AA52)</f>
        <v>990.74216470505598</v>
      </c>
      <c r="AB53" s="104">
        <f t="shared" ca="1" si="21"/>
        <v>0.17760250409520181</v>
      </c>
      <c r="AC53" s="7">
        <f>IF(B53&lt;65,'Retirement Planning'!$J$28,0)</f>
        <v>583</v>
      </c>
      <c r="AD53" s="7">
        <f>IF(B53&lt;65,'Retirement Planning'!$J$29/12,0)</f>
        <v>291.66666666666669</v>
      </c>
      <c r="AE53" s="22">
        <f>'Retirement Planning'!$J$31/12</f>
        <v>58.333333333333336</v>
      </c>
      <c r="AF53" s="22">
        <f>'Retirement Planning'!$J$32/12</f>
        <v>66.666666666666671</v>
      </c>
      <c r="AG53" s="7">
        <f>IF($B53&gt;64.9,'Retirement Planning'!$J$39/12,0)</f>
        <v>0</v>
      </c>
      <c r="AH53" s="7">
        <f>IF($B53&gt;64.9,'Retirement Planning'!$J$40/12,0)</f>
        <v>0</v>
      </c>
      <c r="AI53" s="7">
        <f>IF($B53&gt;64.9,'Retirement Planning'!$J$41/12,0)</f>
        <v>0</v>
      </c>
      <c r="AJ53" s="7">
        <f t="shared" ca="1" si="6"/>
        <v>0</v>
      </c>
      <c r="AK53" s="3" t="str">
        <f t="shared" ca="1" si="7"/>
        <v>N/A</v>
      </c>
      <c r="AL53" s="6" t="str">
        <f t="shared" ca="1" si="8"/>
        <v>N/A</v>
      </c>
      <c r="AM53" s="7">
        <f t="shared" ca="1" si="9"/>
        <v>6.8212102632969618E-13</v>
      </c>
      <c r="AN53" s="7">
        <f t="shared" ca="1" si="10"/>
        <v>7746.3489642258919</v>
      </c>
      <c r="AO53" s="7">
        <f t="shared" si="11"/>
        <v>999.66666666666674</v>
      </c>
    </row>
    <row r="54" spans="1:41" x14ac:dyDescent="0.2">
      <c r="A54">
        <f t="shared" si="12"/>
        <v>50</v>
      </c>
      <c r="B54" s="5">
        <f t="shared" si="13"/>
        <v>60</v>
      </c>
      <c r="C54" s="56">
        <f t="shared" si="14"/>
        <v>47757</v>
      </c>
      <c r="D54" s="57">
        <f ca="1">IF(AND(B53&lt;59.5,OR(B54&gt;59.5,B54=59.5)),(D53-E53+J53-K53)*(1+'Retirement Planning'!$J$23/12),(D53-E53)*(1+'Retirement Planning'!$J$23/12))</f>
        <v>229011.43583678891</v>
      </c>
      <c r="E54" s="58">
        <f t="shared" ca="1" si="0"/>
        <v>692.20960372957597</v>
      </c>
      <c r="F54" s="57">
        <f ca="1">IF(AND(OR(B54&gt;59.5,B54=59.5),B53&lt;59.5),(F53-G53+L53-M53+N53-O53)*(1+'Retirement Planning'!$J$23/12),(F53-G53)*(1+'Retirement Planning'!$J$23/12))</f>
        <v>1046383.3259549415</v>
      </c>
      <c r="G54" s="58">
        <f ca="1">IF(AND($B$10&lt;55,B54&lt;59.5),'Retirement Planning'!$J$25,IF(OR(B54&gt;59.5,B54=59.5),MAX(0,MIN(F54,IF(D54&lt;2500,((Y54+AJ54+AA54))-X54,((Y54+AJ54+AA54)*'Retirement Planning'!$J$44)-X54))),0))</f>
        <v>5464.8126610229729</v>
      </c>
      <c r="H54" s="255">
        <f ca="1">IF(MONTH(C54)=1,IF(B54&gt;69.5,F54/(INDEX('Retirement Planning'!D$1:D$264,(160+INT(B54))))/12,0),IF(F54=0,0,H53))</f>
        <v>0</v>
      </c>
      <c r="I54" s="262">
        <f t="shared" ca="1" si="1"/>
        <v>0</v>
      </c>
      <c r="J54" s="254">
        <f ca="1">IF(AND(B53&lt;59.5,OR(B54=59.5,B54&gt;59.5)),0,(J53-K53)*(1+'Retirement Planning'!$J$23/12))</f>
        <v>0</v>
      </c>
      <c r="K54" s="58">
        <f t="shared" ca="1" si="2"/>
        <v>0</v>
      </c>
      <c r="L54" s="57">
        <f>IF(AND(OR(B54&gt;59.5,B54=59.5),B53&lt;59.5),0,(L53-M53)*(1+'Retirement Planning'!$J$23/12))</f>
        <v>0</v>
      </c>
      <c r="M54" s="59">
        <f>IF(AND($B$10&lt;55,B54&lt;59.5),0,IF(B54&lt;59.5,MAX(0,MIN((($Y54+$AJ54+AA54)*'Retirement Planning'!$J$44)-$G54-$X54,L54)),0))</f>
        <v>0</v>
      </c>
      <c r="N54" s="57">
        <f ca="1">(N53-O53)*(1+'Retirement Planning'!$J$23/12)</f>
        <v>0</v>
      </c>
      <c r="O54" s="59">
        <f ca="1">IF(B54&gt;59.5,MAX(0,MIN((AA54+$Y54+$AJ54)*(IF(D54&lt;(MIN(E42:E53)+1),1,'Retirement Planning'!$J$44))-M54-$G54-$X54-(IF(D54&lt;(MIN(E42:E53)+1),D54,0)),N54)),0)</f>
        <v>0</v>
      </c>
      <c r="P54" s="57">
        <f t="shared" si="15"/>
        <v>15281.333333333325</v>
      </c>
      <c r="Q54" s="58">
        <f t="shared" si="16"/>
        <v>641.33333333333337</v>
      </c>
      <c r="R54" s="57">
        <f ca="1">(R53-S53-T53)*(1+'Retirement Planning'!$J$23/12)</f>
        <v>212962.87985701367</v>
      </c>
      <c r="S54" s="58">
        <f t="shared" ca="1" si="17"/>
        <v>358.33333333333337</v>
      </c>
      <c r="T54" s="273">
        <f t="shared" ca="1" si="3"/>
        <v>3.4106051316484809E-13</v>
      </c>
      <c r="U54" s="57">
        <f ca="1">(U53-V53)*(1+'Retirement Planning'!$J$23/12)</f>
        <v>191691.59521746845</v>
      </c>
      <c r="V54" s="24">
        <f ca="1">IF(AND($B$10&lt;55,B54&lt;59.5),MIN(U54,MAX(0,(Y54+AA54+AJ54-G54)*'Retirement Planning'!$J$45)),IF(B54&lt;59.5,(MIN(U54,MAX(0,((Y54+AA54+AJ54)-G54-M54)*'Retirement Planning'!$J$45))),MIN(U54,MAX(0,(Y54+AA54+AJ54-G54-M54-K54-X54)*'Retirement Planning'!$J$45))))</f>
        <v>589.66003280667599</v>
      </c>
      <c r="W54" s="7">
        <f t="shared" ca="1" si="4"/>
        <v>1695330.5701995457</v>
      </c>
      <c r="X54" s="7">
        <f>(IF(B54&gt;'Retirement Planning'!$J$34,IF('Retirement Planning'!$J$34=70,'Retirement Planning'!$J$37/12,IF('Retirement Planning'!$J$34=67,'Retirement Planning'!$J$36/12,'Retirement Planning'!$J$35/12)),0))*'Retirement Planning'!$J$38</f>
        <v>0</v>
      </c>
      <c r="Y54" s="7">
        <f ca="1">'Retirement Planning'!$F$35*((1+'Retirement Planning'!$J$24)^(YEAR('Projected Retirement Drawdown'!C54)-YEAR(TODAY())))</f>
        <v>5755.940132854169</v>
      </c>
      <c r="Z54" s="7">
        <f ca="1">G54+M54+O54+0.85*X54+V54*'Retirement Planning'!$J$46+T54</f>
        <v>5789.1256790666448</v>
      </c>
      <c r="AA54" s="7">
        <f ca="1">IF(MONTH(C54)=1,(((MIN(MAX(0,((SUM(Z42:Z53)-'Retirement Planning'!$I$53-'Retirement Planning'!$I$54)-'Retirement Planning'!$J$51)*'Retirement Planning'!$I$52))))+(MIN(MAX(0,((SUM(Z42:Z53)-'Retirement Planning'!$I$53-'Retirement Planning'!$I$54)-'Retirement Planning'!$J$50)*'Retirement Planning'!$I$51),('Retirement Planning'!$J$51-'Retirement Planning'!$J$50)*'Retirement Planning'!$I$51))+(MIN(MAX(0,((SUM(Z42:Z53)-'Retirement Planning'!$I$53-'Retirement Planning'!$I$54)-'Retirement Planning'!$J$49)*'Retirement Planning'!$I$50),('Retirement Planning'!$J$50-'Retirement Planning'!$J$49)*'Retirement Planning'!$I$50)+MIN(MAX(0,((SUM(Z42:Z53)-'Retirement Planning'!$I$53-'Retirement Planning'!$I$54)-'Retirement Planning'!$J$48)*'Retirement Planning'!$I$49),('Retirement Planning'!$J$49-'Retirement Planning'!$J$48)*'Retirement Planning'!$I$49)+MIN(((SUM(Z42:Z53)-'Retirement Planning'!$I$53-'Retirement Planning'!$I$54))*'Retirement Planning'!$I$48,('Retirement Planning'!$J$48)*'Retirement Planning'!$I$48))+(IF((SUM(Z42:Z53)-'Retirement Planning'!$I$54-'Retirement Planning'!$I$61)&gt;'Retirement Planning'!$J$59,(SUM(Z42:Z53)-'Retirement Planning'!$I$54-'Retirement Planning'!$I$61-'Retirement Planning'!$J$59)*'Retirement Planning'!$I$60+'Retirement Planning'!$K$59,IF((SUM(Z42:Z53)-'Retirement Planning'!$I$54-'Retirement Planning'!$I$61)&gt;'Retirement Planning'!$J$58,(SUM(Z42:Z53)-'Retirement Planning'!$I$54-'Retirement Planning'!$I$61-'Retirement Planning'!$J$58)*'Retirement Planning'!$I$59+'Retirement Planning'!$K$58,IF((SUM(Z42:Z53)-'Retirement Planning'!$I$54-'Retirement Planning'!$I$61)&gt;'Retirement Planning'!$J$57,(SUM(Z42:Z53)-'Retirement Planning'!$I$54-'Retirement Planning'!$I$61-'Retirement Planning'!$J$57)*'Retirement Planning'!$I$58+'Retirement Planning'!$K$57,IF((SUM(Z42:Z53)-'Retirement Planning'!$I$54-'Retirement Planning'!$I$61)&gt;'Retirement Planning'!$J$56,(SUM(Z42:Z53)-'Retirement Planning'!$I$54-'Retirement Planning'!$I$61-'Retirement Planning'!$J$56)*'Retirement Planning'!$I$57+'Retirement Planning'!$K$56,(SUM(Z42:Z53)-'Retirement Planning'!$I$54-'Retirement Planning'!$I$61)*'Retirement Planning'!$I$56))))))/12,AA53)</f>
        <v>990.74216470505598</v>
      </c>
      <c r="AB54" s="104">
        <f t="shared" ca="1" si="21"/>
        <v>0.17760250409520181</v>
      </c>
      <c r="AC54" s="7">
        <f>IF(B54&lt;65,'Retirement Planning'!$J$28,0)</f>
        <v>583</v>
      </c>
      <c r="AD54" s="7">
        <f>IF(B54&lt;65,'Retirement Planning'!$J$29/12,0)</f>
        <v>291.66666666666669</v>
      </c>
      <c r="AE54" s="22">
        <f>'Retirement Planning'!$J$31/12</f>
        <v>58.333333333333336</v>
      </c>
      <c r="AF54" s="22">
        <f>'Retirement Planning'!$J$32/12</f>
        <v>66.666666666666671</v>
      </c>
      <c r="AG54" s="7">
        <f>IF($B54&gt;64.9,'Retirement Planning'!$J$39/12,0)</f>
        <v>0</v>
      </c>
      <c r="AH54" s="7">
        <f>IF($B54&gt;64.9,'Retirement Planning'!$J$40/12,0)</f>
        <v>0</v>
      </c>
      <c r="AI54" s="7">
        <f>IF($B54&gt;64.9,'Retirement Planning'!$J$41/12,0)</f>
        <v>0</v>
      </c>
      <c r="AJ54" s="7">
        <f t="shared" ca="1" si="6"/>
        <v>0</v>
      </c>
      <c r="AK54" s="3" t="str">
        <f t="shared" ca="1" si="7"/>
        <v>N/A</v>
      </c>
      <c r="AL54" s="6" t="str">
        <f t="shared" ca="1" si="8"/>
        <v>N/A</v>
      </c>
      <c r="AM54" s="7">
        <f t="shared" ca="1" si="9"/>
        <v>6.8212102632969618E-13</v>
      </c>
      <c r="AN54" s="7">
        <f t="shared" ca="1" si="10"/>
        <v>7746.3489642258919</v>
      </c>
      <c r="AO54" s="7">
        <f t="shared" si="11"/>
        <v>999.66666666666674</v>
      </c>
    </row>
    <row r="55" spans="1:41" x14ac:dyDescent="0.2">
      <c r="A55">
        <f t="shared" si="12"/>
        <v>50</v>
      </c>
      <c r="B55" s="5">
        <f t="shared" si="13"/>
        <v>60</v>
      </c>
      <c r="C55" s="56">
        <f t="shared" si="14"/>
        <v>47788</v>
      </c>
      <c r="D55" s="57">
        <f ca="1">IF(AND(B54&lt;59.5,OR(B55&gt;59.5,B55=59.5)),(D54-E54+J54-K54)*(1+'Retirement Planning'!$J$23/12),(D54-E54)*(1+'Retirement Planning'!$J$23/12))</f>
        <v>229936.48741887684</v>
      </c>
      <c r="E55" s="58">
        <f t="shared" ca="1" si="0"/>
        <v>692.20960372957597</v>
      </c>
      <c r="F55" s="57">
        <f ca="1">IF(AND(OR(B55&gt;59.5,B55=59.5),B54&lt;59.5),(F54-G54+L54-M54+N54-O54)*(1+'Retirement Planning'!$J$23/12),(F54-G54)*(1+'Retirement Planning'!$J$23/12))</f>
        <v>1048291.686096417</v>
      </c>
      <c r="G55" s="58">
        <f ca="1">IF(AND($B$10&lt;55,B55&lt;59.5),'Retirement Planning'!$J$25,IF(OR(B55&gt;59.5,B55=59.5),MAX(0,MIN(F55,IF(D55&lt;2500,((Y55+AJ55+AA55))-X55,((Y55+AJ55+AA55)*'Retirement Planning'!$J$44)-X55))),0))</f>
        <v>5464.8126610229729</v>
      </c>
      <c r="H55" s="255">
        <f ca="1">IF(MONTH(C55)=1,IF(B55&gt;69.5,F55/(INDEX('Retirement Planning'!D$1:D$264,(160+INT(B55))))/12,0),IF(F55=0,0,H54))</f>
        <v>0</v>
      </c>
      <c r="I55" s="262">
        <f t="shared" ca="1" si="1"/>
        <v>0</v>
      </c>
      <c r="J55" s="254">
        <f ca="1">IF(AND(B54&lt;59.5,OR(B55=59.5,B55&gt;59.5)),0,(J54-K54)*(1+'Retirement Planning'!$J$23/12))</f>
        <v>0</v>
      </c>
      <c r="K55" s="58">
        <f t="shared" ca="1" si="2"/>
        <v>0</v>
      </c>
      <c r="L55" s="57">
        <f>IF(AND(OR(B55&gt;59.5,B55=59.5),B54&lt;59.5),0,(L54-M54)*(1+'Retirement Planning'!$J$23/12))</f>
        <v>0</v>
      </c>
      <c r="M55" s="59">
        <f>IF(AND($B$10&lt;55,B55&lt;59.5),0,IF(B55&lt;59.5,MAX(0,MIN((($Y55+$AJ55+AA55)*'Retirement Planning'!$J$44)-$G55-$X55,L55)),0))</f>
        <v>0</v>
      </c>
      <c r="N55" s="57">
        <f ca="1">(N54-O54)*(1+'Retirement Planning'!$J$23/12)</f>
        <v>0</v>
      </c>
      <c r="O55" s="59">
        <f ca="1">IF(B55&gt;59.5,MAX(0,MIN((AA55+$Y55+$AJ55)*(IF(D55&lt;(MIN(E43:E54)+1),1,'Retirement Planning'!$J$44))-M55-$G55-$X55-(IF(D55&lt;(MIN(E43:E54)+1),D55,0)),N55)),0)</f>
        <v>0</v>
      </c>
      <c r="P55" s="57">
        <f t="shared" si="15"/>
        <v>14639.999999999991</v>
      </c>
      <c r="Q55" s="58">
        <f t="shared" si="16"/>
        <v>641.33333333333337</v>
      </c>
      <c r="R55" s="57">
        <f ca="1">(R54-S54-T54)*(1+'Retirement Planning'!$J$23/12)</f>
        <v>214110.49539488973</v>
      </c>
      <c r="S55" s="58">
        <f t="shared" ca="1" si="17"/>
        <v>358.33333333333337</v>
      </c>
      <c r="T55" s="273">
        <f t="shared" ca="1" si="3"/>
        <v>3.4106051316484809E-13</v>
      </c>
      <c r="U55" s="57">
        <f ca="1">(U54-V54)*(1+'Retirement Planning'!$J$23/12)</f>
        <v>192455.57389221978</v>
      </c>
      <c r="V55" s="24">
        <f ca="1">IF(AND($B$10&lt;55,B55&lt;59.5),MIN(U55,MAX(0,(Y55+AA55+AJ55-G55)*'Retirement Planning'!$J$45)),IF(B55&lt;59.5,(MIN(U55,MAX(0,((Y55+AA55+AJ55)-G55-M55)*'Retirement Planning'!$J$45))),MIN(U55,MAX(0,(Y55+AA55+AJ55-G55-M55-K55-X55)*'Retirement Planning'!$J$45))))</f>
        <v>589.66003280667599</v>
      </c>
      <c r="W55" s="7">
        <f t="shared" ca="1" si="4"/>
        <v>1699434.2428024032</v>
      </c>
      <c r="X55" s="7">
        <f>(IF(B55&gt;'Retirement Planning'!$J$34,IF('Retirement Planning'!$J$34=70,'Retirement Planning'!$J$37/12,IF('Retirement Planning'!$J$34=67,'Retirement Planning'!$J$36/12,'Retirement Planning'!$J$35/12)),0))*'Retirement Planning'!$J$38</f>
        <v>0</v>
      </c>
      <c r="Y55" s="7">
        <f ca="1">'Retirement Planning'!$F$35*((1+'Retirement Planning'!$J$24)^(YEAR('Projected Retirement Drawdown'!C55)-YEAR(TODAY())))</f>
        <v>5755.940132854169</v>
      </c>
      <c r="Z55" s="7">
        <f ca="1">G55+M55+O55+0.85*X55+V55*'Retirement Planning'!$J$46+T55</f>
        <v>5789.1256790666448</v>
      </c>
      <c r="AA55" s="7">
        <f ca="1">IF(MONTH(C55)=1,(((MIN(MAX(0,((SUM(Z43:Z54)-'Retirement Planning'!$I$53-'Retirement Planning'!$I$54)-'Retirement Planning'!$J$51)*'Retirement Planning'!$I$52))))+(MIN(MAX(0,((SUM(Z43:Z54)-'Retirement Planning'!$I$53-'Retirement Planning'!$I$54)-'Retirement Planning'!$J$50)*'Retirement Planning'!$I$51),('Retirement Planning'!$J$51-'Retirement Planning'!$J$50)*'Retirement Planning'!$I$51))+(MIN(MAX(0,((SUM(Z43:Z54)-'Retirement Planning'!$I$53-'Retirement Planning'!$I$54)-'Retirement Planning'!$J$49)*'Retirement Planning'!$I$50),('Retirement Planning'!$J$50-'Retirement Planning'!$J$49)*'Retirement Planning'!$I$50)+MIN(MAX(0,((SUM(Z43:Z54)-'Retirement Planning'!$I$53-'Retirement Planning'!$I$54)-'Retirement Planning'!$J$48)*'Retirement Planning'!$I$49),('Retirement Planning'!$J$49-'Retirement Planning'!$J$48)*'Retirement Planning'!$I$49)+MIN(((SUM(Z43:Z54)-'Retirement Planning'!$I$53-'Retirement Planning'!$I$54))*'Retirement Planning'!$I$48,('Retirement Planning'!$J$48)*'Retirement Planning'!$I$48))+(IF((SUM(Z43:Z54)-'Retirement Planning'!$I$54-'Retirement Planning'!$I$61)&gt;'Retirement Planning'!$J$59,(SUM(Z43:Z54)-'Retirement Planning'!$I$54-'Retirement Planning'!$I$61-'Retirement Planning'!$J$59)*'Retirement Planning'!$I$60+'Retirement Planning'!$K$59,IF((SUM(Z43:Z54)-'Retirement Planning'!$I$54-'Retirement Planning'!$I$61)&gt;'Retirement Planning'!$J$58,(SUM(Z43:Z54)-'Retirement Planning'!$I$54-'Retirement Planning'!$I$61-'Retirement Planning'!$J$58)*'Retirement Planning'!$I$59+'Retirement Planning'!$K$58,IF((SUM(Z43:Z54)-'Retirement Planning'!$I$54-'Retirement Planning'!$I$61)&gt;'Retirement Planning'!$J$57,(SUM(Z43:Z54)-'Retirement Planning'!$I$54-'Retirement Planning'!$I$61-'Retirement Planning'!$J$57)*'Retirement Planning'!$I$58+'Retirement Planning'!$K$57,IF((SUM(Z43:Z54)-'Retirement Planning'!$I$54-'Retirement Planning'!$I$61)&gt;'Retirement Planning'!$J$56,(SUM(Z43:Z54)-'Retirement Planning'!$I$54-'Retirement Planning'!$I$61-'Retirement Planning'!$J$56)*'Retirement Planning'!$I$57+'Retirement Planning'!$K$56,(SUM(Z43:Z54)-'Retirement Planning'!$I$54-'Retirement Planning'!$I$61)*'Retirement Planning'!$I$56))))))/12,AA54)</f>
        <v>990.74216470505598</v>
      </c>
      <c r="AB55" s="104">
        <f t="shared" ca="1" si="21"/>
        <v>0.17760250409520181</v>
      </c>
      <c r="AC55" s="7">
        <f>IF(B55&lt;65,'Retirement Planning'!$J$28,0)</f>
        <v>583</v>
      </c>
      <c r="AD55" s="7">
        <f>IF(B55&lt;65,'Retirement Planning'!$J$29/12,0)</f>
        <v>291.66666666666669</v>
      </c>
      <c r="AE55" s="22">
        <f>'Retirement Planning'!$J$31/12</f>
        <v>58.333333333333336</v>
      </c>
      <c r="AF55" s="22">
        <f>'Retirement Planning'!$J$32/12</f>
        <v>66.666666666666671</v>
      </c>
      <c r="AG55" s="7">
        <f>IF($B55&gt;64.9,'Retirement Planning'!$J$39/12,0)</f>
        <v>0</v>
      </c>
      <c r="AH55" s="7">
        <f>IF($B55&gt;64.9,'Retirement Planning'!$J$40/12,0)</f>
        <v>0</v>
      </c>
      <c r="AI55" s="7">
        <f>IF($B55&gt;64.9,'Retirement Planning'!$J$41/12,0)</f>
        <v>0</v>
      </c>
      <c r="AJ55" s="7">
        <f t="shared" ca="1" si="6"/>
        <v>0</v>
      </c>
      <c r="AK55" s="3" t="str">
        <f t="shared" ca="1" si="7"/>
        <v>N/A</v>
      </c>
      <c r="AL55" s="6" t="str">
        <f t="shared" ca="1" si="8"/>
        <v>N/A</v>
      </c>
      <c r="AM55" s="7">
        <f t="shared" ca="1" si="9"/>
        <v>6.8212102632969618E-13</v>
      </c>
      <c r="AN55" s="7">
        <f t="shared" ca="1" si="10"/>
        <v>7746.3489642258919</v>
      </c>
      <c r="AO55" s="7">
        <f t="shared" si="11"/>
        <v>999.66666666666674</v>
      </c>
    </row>
    <row r="56" spans="1:41" x14ac:dyDescent="0.2">
      <c r="A56">
        <f t="shared" si="12"/>
        <v>50</v>
      </c>
      <c r="B56" s="5">
        <f t="shared" si="13"/>
        <v>60.1</v>
      </c>
      <c r="C56" s="56">
        <f t="shared" si="14"/>
        <v>47818</v>
      </c>
      <c r="D56" s="57">
        <f ca="1">IF(AND(B55&lt;59.5,OR(B56&gt;59.5,B56=59.5)),(D55-E55+J55-K55)*(1+'Retirement Planning'!$J$23/12),(D55-E55)*(1+'Retirement Planning'!$J$23/12))</f>
        <v>230868.09144967122</v>
      </c>
      <c r="E56" s="58">
        <f t="shared" ca="1" si="0"/>
        <v>692.20960372957597</v>
      </c>
      <c r="F56" s="57">
        <f ca="1">IF(AND(OR(B56&gt;59.5,B56=59.5),B55&lt;59.5),(F55-G55+L55-M55+N55-O55)*(1+'Retirement Planning'!$J$23/12),(F55-G55)*(1+'Retirement Planning'!$J$23/12))</f>
        <v>1050213.5637888948</v>
      </c>
      <c r="G56" s="58">
        <f ca="1">IF(AND($B$10&lt;55,B56&lt;59.5),'Retirement Planning'!$J$25,IF(OR(B56&gt;59.5,B56=59.5),MAX(0,MIN(F56,IF(D56&lt;2500,((Y56+AJ56+AA56))-X56,((Y56+AJ56+AA56)*'Retirement Planning'!$J$44)-X56))),0))</f>
        <v>5464.8126610229729</v>
      </c>
      <c r="H56" s="255">
        <f ca="1">IF(MONTH(C56)=1,IF(B56&gt;69.5,F56/(INDEX('Retirement Planning'!D$1:D$264,(160+INT(B56))))/12,0),IF(F56=0,0,H55))</f>
        <v>0</v>
      </c>
      <c r="I56" s="262">
        <f t="shared" ca="1" si="1"/>
        <v>0</v>
      </c>
      <c r="J56" s="254">
        <f ca="1">IF(AND(B55&lt;59.5,OR(B56=59.5,B56&gt;59.5)),0,(J55-K55)*(1+'Retirement Planning'!$J$23/12))</f>
        <v>0</v>
      </c>
      <c r="K56" s="58">
        <f t="shared" ca="1" si="2"/>
        <v>0</v>
      </c>
      <c r="L56" s="57">
        <f>IF(AND(OR(B56&gt;59.5,B56=59.5),B55&lt;59.5),0,(L55-M55)*(1+'Retirement Planning'!$J$23/12))</f>
        <v>0</v>
      </c>
      <c r="M56" s="59">
        <f>IF(AND($B$10&lt;55,B56&lt;59.5),0,IF(B56&lt;59.5,MAX(0,MIN((($Y56+$AJ56+AA56)*'Retirement Planning'!$J$44)-$G56-$X56,L56)),0))</f>
        <v>0</v>
      </c>
      <c r="N56" s="57">
        <f ca="1">(N55-O55)*(1+'Retirement Planning'!$J$23/12)</f>
        <v>0</v>
      </c>
      <c r="O56" s="59">
        <f ca="1">IF(B56&gt;59.5,MAX(0,MIN((AA56+$Y56+$AJ56)*(IF(D56&lt;(MIN(E44:E55)+1),1,'Retirement Planning'!$J$44))-M56-$G56-$X56-(IF(D56&lt;(MIN(E44:E55)+1),D56,0)),N56)),0)</f>
        <v>0</v>
      </c>
      <c r="P56" s="57">
        <f t="shared" si="15"/>
        <v>13998.666666666657</v>
      </c>
      <c r="Q56" s="58">
        <f t="shared" si="16"/>
        <v>641.33333333333337</v>
      </c>
      <c r="R56" s="57">
        <f ca="1">(R55-S55-T55)*(1+'Retirement Planning'!$J$23/12)</f>
        <v>215266.23987615909</v>
      </c>
      <c r="S56" s="58">
        <f t="shared" ca="1" si="17"/>
        <v>358.33333333333337</v>
      </c>
      <c r="T56" s="273">
        <f t="shared" ca="1" si="3"/>
        <v>3.4106051316484809E-13</v>
      </c>
      <c r="U56" s="57">
        <f ca="1">(U55-V55)*(1+'Retirement Planning'!$J$23/12)</f>
        <v>193224.96408258393</v>
      </c>
      <c r="V56" s="24">
        <f ca="1">IF(AND($B$10&lt;55,B56&lt;59.5),MIN(U56,MAX(0,(Y56+AA56+AJ56-G56)*'Retirement Planning'!$J$45)),IF(B56&lt;59.5,(MIN(U56,MAX(0,((Y56+AA56+AJ56)-G56-M56)*'Retirement Planning'!$J$45))),MIN(U56,MAX(0,(Y56+AA56+AJ56-G56-M56-K56-X56)*'Retirement Planning'!$J$45))))</f>
        <v>589.66003280667599</v>
      </c>
      <c r="W56" s="7">
        <f t="shared" ca="1" si="4"/>
        <v>1703571.5258639758</v>
      </c>
      <c r="X56" s="7">
        <f>(IF(B56&gt;'Retirement Planning'!$J$34,IF('Retirement Planning'!$J$34=70,'Retirement Planning'!$J$37/12,IF('Retirement Planning'!$J$34=67,'Retirement Planning'!$J$36/12,'Retirement Planning'!$J$35/12)),0))*'Retirement Planning'!$J$38</f>
        <v>0</v>
      </c>
      <c r="Y56" s="7">
        <f ca="1">'Retirement Planning'!$F$35*((1+'Retirement Planning'!$J$24)^(YEAR('Projected Retirement Drawdown'!C56)-YEAR(TODAY())))</f>
        <v>5755.940132854169</v>
      </c>
      <c r="Z56" s="7">
        <f ca="1">G56+M56+O56+0.85*X56+V56*'Retirement Planning'!$J$46+T56</f>
        <v>5789.1256790666448</v>
      </c>
      <c r="AA56" s="7">
        <f ca="1">IF(MONTH(C56)=1,(((MIN(MAX(0,((SUM(Z44:Z55)-'Retirement Planning'!$I$53-'Retirement Planning'!$I$54)-'Retirement Planning'!$J$51)*'Retirement Planning'!$I$52))))+(MIN(MAX(0,((SUM(Z44:Z55)-'Retirement Planning'!$I$53-'Retirement Planning'!$I$54)-'Retirement Planning'!$J$50)*'Retirement Planning'!$I$51),('Retirement Planning'!$J$51-'Retirement Planning'!$J$50)*'Retirement Planning'!$I$51))+(MIN(MAX(0,((SUM(Z44:Z55)-'Retirement Planning'!$I$53-'Retirement Planning'!$I$54)-'Retirement Planning'!$J$49)*'Retirement Planning'!$I$50),('Retirement Planning'!$J$50-'Retirement Planning'!$J$49)*'Retirement Planning'!$I$50)+MIN(MAX(0,((SUM(Z44:Z55)-'Retirement Planning'!$I$53-'Retirement Planning'!$I$54)-'Retirement Planning'!$J$48)*'Retirement Planning'!$I$49),('Retirement Planning'!$J$49-'Retirement Planning'!$J$48)*'Retirement Planning'!$I$49)+MIN(((SUM(Z44:Z55)-'Retirement Planning'!$I$53-'Retirement Planning'!$I$54))*'Retirement Planning'!$I$48,('Retirement Planning'!$J$48)*'Retirement Planning'!$I$48))+(IF((SUM(Z44:Z55)-'Retirement Planning'!$I$54-'Retirement Planning'!$I$61)&gt;'Retirement Planning'!$J$59,(SUM(Z44:Z55)-'Retirement Planning'!$I$54-'Retirement Planning'!$I$61-'Retirement Planning'!$J$59)*'Retirement Planning'!$I$60+'Retirement Planning'!$K$59,IF((SUM(Z44:Z55)-'Retirement Planning'!$I$54-'Retirement Planning'!$I$61)&gt;'Retirement Planning'!$J$58,(SUM(Z44:Z55)-'Retirement Planning'!$I$54-'Retirement Planning'!$I$61-'Retirement Planning'!$J$58)*'Retirement Planning'!$I$59+'Retirement Planning'!$K$58,IF((SUM(Z44:Z55)-'Retirement Planning'!$I$54-'Retirement Planning'!$I$61)&gt;'Retirement Planning'!$J$57,(SUM(Z44:Z55)-'Retirement Planning'!$I$54-'Retirement Planning'!$I$61-'Retirement Planning'!$J$57)*'Retirement Planning'!$I$58+'Retirement Planning'!$K$57,IF((SUM(Z44:Z55)-'Retirement Planning'!$I$54-'Retirement Planning'!$I$61)&gt;'Retirement Planning'!$J$56,(SUM(Z44:Z55)-'Retirement Planning'!$I$54-'Retirement Planning'!$I$61-'Retirement Planning'!$J$56)*'Retirement Planning'!$I$57+'Retirement Planning'!$K$56,(SUM(Z44:Z55)-'Retirement Planning'!$I$54-'Retirement Planning'!$I$61)*'Retirement Planning'!$I$56))))))/12,AA55)</f>
        <v>990.74216470505598</v>
      </c>
      <c r="AB56" s="104">
        <f t="shared" ca="1" si="21"/>
        <v>0.17760250409520181</v>
      </c>
      <c r="AC56" s="7">
        <f>IF(B56&lt;65,'Retirement Planning'!$J$28,0)</f>
        <v>583</v>
      </c>
      <c r="AD56" s="7">
        <f>IF(B56&lt;65,'Retirement Planning'!$J$29/12,0)</f>
        <v>291.66666666666669</v>
      </c>
      <c r="AE56" s="22">
        <f>'Retirement Planning'!$J$31/12</f>
        <v>58.333333333333336</v>
      </c>
      <c r="AF56" s="22">
        <f>'Retirement Planning'!$J$32/12</f>
        <v>66.666666666666671</v>
      </c>
      <c r="AG56" s="7">
        <f>IF($B56&gt;64.9,'Retirement Planning'!$J$39/12,0)</f>
        <v>0</v>
      </c>
      <c r="AH56" s="7">
        <f>IF($B56&gt;64.9,'Retirement Planning'!$J$40/12,0)</f>
        <v>0</v>
      </c>
      <c r="AI56" s="7">
        <f>IF($B56&gt;64.9,'Retirement Planning'!$J$41/12,0)</f>
        <v>0</v>
      </c>
      <c r="AJ56" s="7">
        <f t="shared" ca="1" si="6"/>
        <v>0</v>
      </c>
      <c r="AK56" s="3" t="str">
        <f t="shared" ca="1" si="7"/>
        <v>N/A</v>
      </c>
      <c r="AL56" s="6" t="str">
        <f t="shared" ca="1" si="8"/>
        <v>N/A</v>
      </c>
      <c r="AM56" s="7">
        <f t="shared" ca="1" si="9"/>
        <v>6.8212102632969618E-13</v>
      </c>
      <c r="AN56" s="7">
        <f t="shared" ca="1" si="10"/>
        <v>7746.3489642258919</v>
      </c>
      <c r="AO56" s="7">
        <f t="shared" si="11"/>
        <v>999.66666666666674</v>
      </c>
    </row>
    <row r="57" spans="1:41" x14ac:dyDescent="0.2">
      <c r="A57">
        <f t="shared" si="12"/>
        <v>50</v>
      </c>
      <c r="B57" s="5">
        <f t="shared" si="13"/>
        <v>60.2</v>
      </c>
      <c r="C57" s="56">
        <f t="shared" si="14"/>
        <v>47849</v>
      </c>
      <c r="D57" s="57">
        <f ca="1">IF(AND(B56&lt;59.5,OR(B57&gt;59.5,B57=59.5)),(D56-E56+J56-K56)*(1+'Retirement Planning'!$J$23/12),(D56-E56)*(1+'Retirement Planning'!$J$23/12))</f>
        <v>231806.29434235039</v>
      </c>
      <c r="E57" s="58">
        <f t="shared" ca="1" si="0"/>
        <v>719.20026991007853</v>
      </c>
      <c r="F57" s="57">
        <f ca="1">IF(AND(OR(B57&gt;59.5,B57=59.5),B56&lt;59.5),(F56-G56+L56-M56+N56-O56)*(1+'Retirement Planning'!$J$23/12),(F56-G56)*(1+'Retirement Planning'!$J$23/12))</f>
        <v>1052149.0547816942</v>
      </c>
      <c r="G57" s="58">
        <f ca="1">IF(AND($B$10&lt;55,B57&lt;59.5),'Retirement Planning'!$J$25,IF(OR(B57&gt;59.5,B57=59.5),MAX(0,MIN(F57,IF(D57&lt;2500,((Y57+AJ57+AA57))-X57,((Y57+AJ57+AA57)*'Retirement Planning'!$J$44)-X57))),0))</f>
        <v>5677.8968677111516</v>
      </c>
      <c r="H57" s="255">
        <f>IF(MONTH(C57)=1,IF(B57&gt;69.5,F57/(INDEX('Retirement Planning'!D$1:D$264,(160+INT(B57))))/12,0),IF(F57=0,0,H56))</f>
        <v>0</v>
      </c>
      <c r="I57" s="262">
        <f t="shared" ca="1" si="1"/>
        <v>0</v>
      </c>
      <c r="J57" s="254">
        <f ca="1">IF(AND(B56&lt;59.5,OR(B57=59.5,B57&gt;59.5)),0,(J56-K56)*(1+'Retirement Planning'!$J$23/12))</f>
        <v>0</v>
      </c>
      <c r="K57" s="58">
        <f t="shared" ca="1" si="2"/>
        <v>0</v>
      </c>
      <c r="L57" s="57">
        <f>IF(AND(OR(B57&gt;59.5,B57=59.5),B56&lt;59.5),0,(L56-M56)*(1+'Retirement Planning'!$J$23/12))</f>
        <v>0</v>
      </c>
      <c r="M57" s="59">
        <f>IF(AND($B$10&lt;55,B57&lt;59.5),0,IF(B57&lt;59.5,MAX(0,MIN((($Y57+$AJ57+AA57)*'Retirement Planning'!$J$44)-$G57-$X57,L57)),0))</f>
        <v>0</v>
      </c>
      <c r="N57" s="57">
        <f ca="1">(N56-O56)*(1+'Retirement Planning'!$J$23/12)</f>
        <v>0</v>
      </c>
      <c r="O57" s="59">
        <f ca="1">IF(B57&gt;59.5,MAX(0,MIN((AA57+$Y57+$AJ57)*(IF(D57&lt;(MIN(E45:E56)+1),1,'Retirement Planning'!$J$44))-M57-$G57-$X57-(IF(D57&lt;(MIN(E45:E56)+1),D57,0)),N57)),0)</f>
        <v>0</v>
      </c>
      <c r="P57" s="57">
        <f t="shared" si="15"/>
        <v>13357.333333333323</v>
      </c>
      <c r="Q57" s="58">
        <f t="shared" si="16"/>
        <v>641.33333333333337</v>
      </c>
      <c r="R57" s="57">
        <f ca="1">(R56-S56-T56)*(1+'Retirement Planning'!$J$23/12)</f>
        <v>216430.17088083742</v>
      </c>
      <c r="S57" s="58">
        <f t="shared" ca="1" si="17"/>
        <v>358.33333333333337</v>
      </c>
      <c r="T57" s="273">
        <f t="shared" ca="1" si="3"/>
        <v>4.5474735088646412E-13</v>
      </c>
      <c r="U57" s="57">
        <f ca="1">(U56-V56)*(1+'Retirement Planning'!$J$23/12)</f>
        <v>193999.80412012985</v>
      </c>
      <c r="V57" s="24">
        <f ca="1">IF(AND($B$10&lt;55,B57&lt;59.5),MIN(U57,MAX(0,(Y57+AA57+AJ57-G57)*'Retirement Planning'!$J$45)),IF(B57&lt;59.5,(MIN(U57,MAX(0,((Y57+AA57+AJ57)-G57-M57)*'Retirement Planning'!$J$45))),MIN(U57,MAX(0,(Y57+AA57+AJ57-G57-M57-K57-X57)*'Retirement Planning'!$J$45))))</f>
        <v>612.65208177525233</v>
      </c>
      <c r="W57" s="7">
        <f t="shared" ca="1" si="4"/>
        <v>1707742.6574583452</v>
      </c>
      <c r="X57" s="7">
        <f>(IF(B57&gt;'Retirement Planning'!$J$34,IF('Retirement Planning'!$J$34=70,'Retirement Planning'!$J$37/12,IF('Retirement Planning'!$J$34=67,'Retirement Planning'!$J$36/12,'Retirement Planning'!$J$35/12)),0))*'Retirement Planning'!$J$38</f>
        <v>0</v>
      </c>
      <c r="Y57" s="7">
        <f ca="1">'Retirement Planning'!$F$35*((1+'Retirement Planning'!$J$24)^(YEAR('Projected Retirement Drawdown'!C57)-YEAR(TODAY())))</f>
        <v>5957.3980375040628</v>
      </c>
      <c r="Z57" s="7">
        <f ca="1">G57+M57+O57+0.85*X57+V57*'Retirement Planning'!$J$46+T57</f>
        <v>6014.8555126875417</v>
      </c>
      <c r="AA57" s="7">
        <f ca="1">IF(MONTH(C57)=1,(((MIN(MAX(0,((SUM(Z45:Z56)-'Retirement Planning'!$I$53-'Retirement Planning'!$I$54)-'Retirement Planning'!$J$51)*'Retirement Planning'!$I$52))))+(MIN(MAX(0,((SUM(Z45:Z56)-'Retirement Planning'!$I$53-'Retirement Planning'!$I$54)-'Retirement Planning'!$J$50)*'Retirement Planning'!$I$51),('Retirement Planning'!$J$51-'Retirement Planning'!$J$50)*'Retirement Planning'!$I$51))+(MIN(MAX(0,((SUM(Z45:Z56)-'Retirement Planning'!$I$53-'Retirement Planning'!$I$54)-'Retirement Planning'!$J$49)*'Retirement Planning'!$I$50),('Retirement Planning'!$J$50-'Retirement Planning'!$J$49)*'Retirement Planning'!$I$50)+MIN(MAX(0,((SUM(Z45:Z56)-'Retirement Planning'!$I$53-'Retirement Planning'!$I$54)-'Retirement Planning'!$J$48)*'Retirement Planning'!$I$49),('Retirement Planning'!$J$49-'Retirement Planning'!$J$48)*'Retirement Planning'!$I$49)+MIN(((SUM(Z45:Z56)-'Retirement Planning'!$I$53-'Retirement Planning'!$I$54))*'Retirement Planning'!$I$48,('Retirement Planning'!$J$48)*'Retirement Planning'!$I$48))+(IF((SUM(Z45:Z56)-'Retirement Planning'!$I$54-'Retirement Planning'!$I$61)&gt;'Retirement Planning'!$J$59,(SUM(Z45:Z56)-'Retirement Planning'!$I$54-'Retirement Planning'!$I$61-'Retirement Planning'!$J$59)*'Retirement Planning'!$I$60+'Retirement Planning'!$K$59,IF((SUM(Z45:Z56)-'Retirement Planning'!$I$54-'Retirement Planning'!$I$61)&gt;'Retirement Planning'!$J$58,(SUM(Z45:Z56)-'Retirement Planning'!$I$54-'Retirement Planning'!$I$61-'Retirement Planning'!$J$58)*'Retirement Planning'!$I$59+'Retirement Planning'!$K$58,IF((SUM(Z45:Z56)-'Retirement Planning'!$I$54-'Retirement Planning'!$I$61)&gt;'Retirement Planning'!$J$57,(SUM(Z45:Z56)-'Retirement Planning'!$I$54-'Retirement Planning'!$I$61-'Retirement Planning'!$J$57)*'Retirement Planning'!$I$58+'Retirement Planning'!$K$57,IF((SUM(Z45:Z56)-'Retirement Planning'!$I$54-'Retirement Planning'!$I$61)&gt;'Retirement Planning'!$J$56,(SUM(Z45:Z56)-'Retirement Planning'!$I$54-'Retirement Planning'!$I$61-'Retirement Planning'!$J$56)*'Retirement Planning'!$I$57+'Retirement Planning'!$K$56,(SUM(Z45:Z56)-'Retirement Planning'!$I$54-'Retirement Planning'!$I$61)*'Retirement Planning'!$I$56))))))/12,AA56)</f>
        <v>1052.3511818924203</v>
      </c>
      <c r="AB57" s="104">
        <f t="shared" ref="AB57" ca="1" si="22">SUM(AA57:AA68)/SUM(Z45:Z56)</f>
        <v>0.18178067643231507</v>
      </c>
      <c r="AC57" s="7">
        <f>IF(B57&lt;65,'Retirement Planning'!$J$28,0)</f>
        <v>583</v>
      </c>
      <c r="AD57" s="7">
        <f>IF(B57&lt;65,'Retirement Planning'!$J$29/12,0)</f>
        <v>291.66666666666669</v>
      </c>
      <c r="AE57" s="22">
        <f>'Retirement Planning'!$J$31/12</f>
        <v>58.333333333333336</v>
      </c>
      <c r="AF57" s="22">
        <f>'Retirement Planning'!$J$32/12</f>
        <v>66.666666666666671</v>
      </c>
      <c r="AG57" s="7">
        <f>IF($B57&gt;64.9,'Retirement Planning'!$J$39/12,0)</f>
        <v>0</v>
      </c>
      <c r="AH57" s="7">
        <f>IF($B57&gt;64.9,'Retirement Planning'!$J$40/12,0)</f>
        <v>0</v>
      </c>
      <c r="AI57" s="7">
        <f>IF($B57&gt;64.9,'Retirement Planning'!$J$41/12,0)</f>
        <v>0</v>
      </c>
      <c r="AJ57" s="7">
        <f t="shared" ca="1" si="6"/>
        <v>0</v>
      </c>
      <c r="AK57" s="3" t="str">
        <f t="shared" ca="1" si="7"/>
        <v>N/A</v>
      </c>
      <c r="AL57" s="6" t="str">
        <f t="shared" ca="1" si="8"/>
        <v>N/A</v>
      </c>
      <c r="AM57" s="7">
        <f t="shared" ca="1" si="9"/>
        <v>6.8212102632969618E-13</v>
      </c>
      <c r="AN57" s="7">
        <f t="shared" ca="1" si="10"/>
        <v>8009.4158860631496</v>
      </c>
      <c r="AO57" s="7">
        <f t="shared" si="11"/>
        <v>999.66666666666674</v>
      </c>
    </row>
    <row r="58" spans="1:41" x14ac:dyDescent="0.2">
      <c r="A58">
        <f t="shared" si="12"/>
        <v>50</v>
      </c>
      <c r="B58" s="5">
        <f t="shared" si="13"/>
        <v>60.3</v>
      </c>
      <c r="C58" s="56">
        <f t="shared" si="14"/>
        <v>47880</v>
      </c>
      <c r="D58" s="57">
        <f ca="1">IF(AND(B57&lt;59.5,OR(B58&gt;59.5,B58=59.5)),(D57-E57+J57-K57)*(1+'Retirement Planning'!$J$23/12),(D57-E57)*(1+'Retirement Planning'!$J$23/12))</f>
        <v>232723.96098878677</v>
      </c>
      <c r="E58" s="58">
        <f t="shared" ca="1" si="0"/>
        <v>719.20026991007853</v>
      </c>
      <c r="F58" s="57">
        <f ca="1">IF(AND(OR(B58&gt;59.5,B58=59.5),B57&lt;59.5),(F57-G57+L57-M57+N57-O57)*(1+'Retirement Planning'!$J$23/12),(F57-G57)*(1+'Retirement Planning'!$J$23/12))</f>
        <v>1053883.6619492071</v>
      </c>
      <c r="G58" s="58">
        <f ca="1">IF(AND($B$10&lt;55,B58&lt;59.5),'Retirement Planning'!$J$25,IF(OR(B58&gt;59.5,B58=59.5),MAX(0,MIN(F58,IF(D58&lt;2500,((Y58+AJ58+AA58))-X58,((Y58+AJ58+AA58)*'Retirement Planning'!$J$44)-X58))),0))</f>
        <v>5677.8968677111516</v>
      </c>
      <c r="H58" s="255">
        <f ca="1">IF(MONTH(C58)=1,IF(B58&gt;69.5,F58/(INDEX('Retirement Planning'!D$1:D$264,(160+INT(B58))))/12,0),IF(F58=0,0,H57))</f>
        <v>0</v>
      </c>
      <c r="I58" s="262">
        <f t="shared" ca="1" si="1"/>
        <v>0</v>
      </c>
      <c r="J58" s="254">
        <f ca="1">IF(AND(B57&lt;59.5,OR(B58=59.5,B58&gt;59.5)),0,(J57-K57)*(1+'Retirement Planning'!$J$23/12))</f>
        <v>0</v>
      </c>
      <c r="K58" s="58">
        <f t="shared" ca="1" si="2"/>
        <v>0</v>
      </c>
      <c r="L58" s="57">
        <f>IF(AND(OR(B58&gt;59.5,B58=59.5),B57&lt;59.5),0,(L57-M57)*(1+'Retirement Planning'!$J$23/12))</f>
        <v>0</v>
      </c>
      <c r="M58" s="59">
        <f>IF(AND($B$10&lt;55,B58&lt;59.5),0,IF(B58&lt;59.5,MAX(0,MIN((($Y58+$AJ58+AA58)*'Retirement Planning'!$J$44)-$G58-$X58,L58)),0))</f>
        <v>0</v>
      </c>
      <c r="N58" s="57">
        <f ca="1">(N57-O57)*(1+'Retirement Planning'!$J$23/12)</f>
        <v>0</v>
      </c>
      <c r="O58" s="59">
        <f ca="1">IF(B58&gt;59.5,MAX(0,MIN((AA58+$Y58+$AJ58)*(IF(D58&lt;(MIN(E46:E57)+1),1,'Retirement Planning'!$J$44))-M58-$G58-$X58-(IF(D58&lt;(MIN(E46:E57)+1),D58,0)),N58)),0)</f>
        <v>0</v>
      </c>
      <c r="P58" s="57">
        <f t="shared" si="15"/>
        <v>12715.999999999989</v>
      </c>
      <c r="Q58" s="58">
        <f t="shared" si="16"/>
        <v>641.33333333333337</v>
      </c>
      <c r="R58" s="57">
        <f ca="1">(R57-S57-T57)*(1+'Retirement Planning'!$J$23/12)</f>
        <v>217602.34639679891</v>
      </c>
      <c r="S58" s="58">
        <f t="shared" ca="1" si="17"/>
        <v>358.33333333333337</v>
      </c>
      <c r="T58" s="273">
        <f t="shared" ca="1" si="3"/>
        <v>4.5474735088646412E-13</v>
      </c>
      <c r="U58" s="57">
        <f ca="1">(U57-V57)*(1+'Retirement Planning'!$J$23/12)</f>
        <v>194756.97769862629</v>
      </c>
      <c r="V58" s="24">
        <f ca="1">IF(AND($B$10&lt;55,B58&lt;59.5),MIN(U58,MAX(0,(Y58+AA58+AJ58-G58)*'Retirement Planning'!$J$45)),IF(B58&lt;59.5,(MIN(U58,MAX(0,((Y58+AA58+AJ58)-G58-M58)*'Retirement Planning'!$J$45))),MIN(U58,MAX(0,(Y58+AA58+AJ58-G58-M58-K58-X58)*'Retirement Planning'!$J$45))))</f>
        <v>612.65208177525233</v>
      </c>
      <c r="W58" s="7">
        <f t="shared" ca="1" si="4"/>
        <v>1711682.947033419</v>
      </c>
      <c r="X58" s="7">
        <f>(IF(B58&gt;'Retirement Planning'!$J$34,IF('Retirement Planning'!$J$34=70,'Retirement Planning'!$J$37/12,IF('Retirement Planning'!$J$34=67,'Retirement Planning'!$J$36/12,'Retirement Planning'!$J$35/12)),0))*'Retirement Planning'!$J$38</f>
        <v>0</v>
      </c>
      <c r="Y58" s="7">
        <f ca="1">'Retirement Planning'!$F$35*((1+'Retirement Planning'!$J$24)^(YEAR('Projected Retirement Drawdown'!C58)-YEAR(TODAY())))</f>
        <v>5957.3980375040628</v>
      </c>
      <c r="Z58" s="7">
        <f ca="1">G58+M58+O58+0.85*X58+V58*'Retirement Planning'!$J$46+T58</f>
        <v>6014.8555126875417</v>
      </c>
      <c r="AA58" s="7">
        <f ca="1">IF(MONTH(C58)=1,(((MIN(MAX(0,((SUM(Z46:Z57)-'Retirement Planning'!$I$53-'Retirement Planning'!$I$54)-'Retirement Planning'!$J$51)*'Retirement Planning'!$I$52))))+(MIN(MAX(0,((SUM(Z46:Z57)-'Retirement Planning'!$I$53-'Retirement Planning'!$I$54)-'Retirement Planning'!$J$50)*'Retirement Planning'!$I$51),('Retirement Planning'!$J$51-'Retirement Planning'!$J$50)*'Retirement Planning'!$I$51))+(MIN(MAX(0,((SUM(Z46:Z57)-'Retirement Planning'!$I$53-'Retirement Planning'!$I$54)-'Retirement Planning'!$J$49)*'Retirement Planning'!$I$50),('Retirement Planning'!$J$50-'Retirement Planning'!$J$49)*'Retirement Planning'!$I$50)+MIN(MAX(0,((SUM(Z46:Z57)-'Retirement Planning'!$I$53-'Retirement Planning'!$I$54)-'Retirement Planning'!$J$48)*'Retirement Planning'!$I$49),('Retirement Planning'!$J$49-'Retirement Planning'!$J$48)*'Retirement Planning'!$I$49)+MIN(((SUM(Z46:Z57)-'Retirement Planning'!$I$53-'Retirement Planning'!$I$54))*'Retirement Planning'!$I$48,('Retirement Planning'!$J$48)*'Retirement Planning'!$I$48))+(IF((SUM(Z46:Z57)-'Retirement Planning'!$I$54-'Retirement Planning'!$I$61)&gt;'Retirement Planning'!$J$59,(SUM(Z46:Z57)-'Retirement Planning'!$I$54-'Retirement Planning'!$I$61-'Retirement Planning'!$J$59)*'Retirement Planning'!$I$60+'Retirement Planning'!$K$59,IF((SUM(Z46:Z57)-'Retirement Planning'!$I$54-'Retirement Planning'!$I$61)&gt;'Retirement Planning'!$J$58,(SUM(Z46:Z57)-'Retirement Planning'!$I$54-'Retirement Planning'!$I$61-'Retirement Planning'!$J$58)*'Retirement Planning'!$I$59+'Retirement Planning'!$K$58,IF((SUM(Z46:Z57)-'Retirement Planning'!$I$54-'Retirement Planning'!$I$61)&gt;'Retirement Planning'!$J$57,(SUM(Z46:Z57)-'Retirement Planning'!$I$54-'Retirement Planning'!$I$61-'Retirement Planning'!$J$57)*'Retirement Planning'!$I$58+'Retirement Planning'!$K$57,IF((SUM(Z46:Z57)-'Retirement Planning'!$I$54-'Retirement Planning'!$I$61)&gt;'Retirement Planning'!$J$56,(SUM(Z46:Z57)-'Retirement Planning'!$I$54-'Retirement Planning'!$I$61-'Retirement Planning'!$J$56)*'Retirement Planning'!$I$57+'Retirement Planning'!$K$56,(SUM(Z46:Z57)-'Retirement Planning'!$I$54-'Retirement Planning'!$I$61)*'Retirement Planning'!$I$56))))))/12,AA57)</f>
        <v>1052.3511818924203</v>
      </c>
      <c r="AB58" s="104">
        <f t="shared" ref="AB58:AB121" ca="1" si="23">AB57</f>
        <v>0.18178067643231507</v>
      </c>
      <c r="AC58" s="7">
        <f>IF(B58&lt;65,'Retirement Planning'!$J$28,0)</f>
        <v>583</v>
      </c>
      <c r="AD58" s="7">
        <f>IF(B58&lt;65,'Retirement Planning'!$J$29/12,0)</f>
        <v>291.66666666666669</v>
      </c>
      <c r="AE58" s="22">
        <f>'Retirement Planning'!$J$31/12</f>
        <v>58.333333333333336</v>
      </c>
      <c r="AF58" s="22">
        <f>'Retirement Planning'!$J$32/12</f>
        <v>66.666666666666671</v>
      </c>
      <c r="AG58" s="7">
        <f>IF($B58&gt;64.9,'Retirement Planning'!$J$39/12,0)</f>
        <v>0</v>
      </c>
      <c r="AH58" s="7">
        <f>IF($B58&gt;64.9,'Retirement Planning'!$J$40/12,0)</f>
        <v>0</v>
      </c>
      <c r="AI58" s="7">
        <f>IF($B58&gt;64.9,'Retirement Planning'!$J$41/12,0)</f>
        <v>0</v>
      </c>
      <c r="AJ58" s="7">
        <f t="shared" ca="1" si="6"/>
        <v>0</v>
      </c>
      <c r="AK58" s="3" t="str">
        <f t="shared" ca="1" si="7"/>
        <v>N/A</v>
      </c>
      <c r="AL58" s="6" t="str">
        <f t="shared" ca="1" si="8"/>
        <v>N/A</v>
      </c>
      <c r="AM58" s="7">
        <f t="shared" ca="1" si="9"/>
        <v>6.8212102632969618E-13</v>
      </c>
      <c r="AN58" s="7">
        <f t="shared" ca="1" si="10"/>
        <v>8009.4158860631496</v>
      </c>
      <c r="AO58" s="7">
        <f t="shared" si="11"/>
        <v>999.66666666666674</v>
      </c>
    </row>
    <row r="59" spans="1:41" x14ac:dyDescent="0.2">
      <c r="A59">
        <f t="shared" si="12"/>
        <v>50</v>
      </c>
      <c r="B59" s="5">
        <f t="shared" si="13"/>
        <v>60.4</v>
      </c>
      <c r="C59" s="56">
        <f t="shared" si="14"/>
        <v>47908</v>
      </c>
      <c r="D59" s="57">
        <f ca="1">IF(AND(B58&lt;59.5,OR(B59&gt;59.5,B59=59.5)),(D58-E58+J58-K58)*(1+'Retirement Planning'!$J$23/12),(D58-E58)*(1+'Retirement Planning'!$J$23/12))</f>
        <v>233648.12777396874</v>
      </c>
      <c r="E59" s="58">
        <f t="shared" ca="1" si="0"/>
        <v>719.20026991007853</v>
      </c>
      <c r="F59" s="57">
        <f ca="1">IF(AND(OR(B59&gt;59.5,B59=59.5),B58&lt;59.5),(F58-G58+L58-M58+N58-O58)*(1+'Retirement Planning'!$J$23/12),(F58-G58)*(1+'Retirement Planning'!$J$23/12))</f>
        <v>1055630.5559174898</v>
      </c>
      <c r="G59" s="58">
        <f ca="1">IF(AND($B$10&lt;55,B59&lt;59.5),'Retirement Planning'!$J$25,IF(OR(B59&gt;59.5,B59=59.5),MAX(0,MIN(F59,IF(D59&lt;2500,((Y59+AJ59+AA59))-X59,((Y59+AJ59+AA59)*'Retirement Planning'!$J$44)-X59))),0))</f>
        <v>5677.8968677111516</v>
      </c>
      <c r="H59" s="255">
        <f ca="1">IF(MONTH(C59)=1,IF(B59&gt;69.5,F59/(INDEX('Retirement Planning'!D$1:D$264,(160+INT(B59))))/12,0),IF(F59=0,0,H58))</f>
        <v>0</v>
      </c>
      <c r="I59" s="262">
        <f t="shared" ca="1" si="1"/>
        <v>0</v>
      </c>
      <c r="J59" s="254">
        <f ca="1">IF(AND(B58&lt;59.5,OR(B59=59.5,B59&gt;59.5)),0,(J58-K58)*(1+'Retirement Planning'!$J$23/12))</f>
        <v>0</v>
      </c>
      <c r="K59" s="58">
        <f t="shared" ca="1" si="2"/>
        <v>0</v>
      </c>
      <c r="L59" s="57">
        <f>IF(AND(OR(B59&gt;59.5,B59=59.5),B58&lt;59.5),0,(L58-M58)*(1+'Retirement Planning'!$J$23/12))</f>
        <v>0</v>
      </c>
      <c r="M59" s="59">
        <f>IF(AND($B$10&lt;55,B59&lt;59.5),0,IF(B59&lt;59.5,MAX(0,MIN((($Y59+$AJ59+AA59)*'Retirement Planning'!$J$44)-$G59-$X59,L59)),0))</f>
        <v>0</v>
      </c>
      <c r="N59" s="57">
        <f ca="1">(N58-O58)*(1+'Retirement Planning'!$J$23/12)</f>
        <v>0</v>
      </c>
      <c r="O59" s="59">
        <f ca="1">IF(B59&gt;59.5,MAX(0,MIN((AA59+$Y59+$AJ59)*(IF(D59&lt;(MIN(E47:E58)+1),1,'Retirement Planning'!$J$44))-M59-$G59-$X59-(IF(D59&lt;(MIN(E47:E58)+1),D59,0)),N59)),0)</f>
        <v>0</v>
      </c>
      <c r="P59" s="57">
        <f t="shared" si="15"/>
        <v>12074.666666666655</v>
      </c>
      <c r="Q59" s="58">
        <f t="shared" si="16"/>
        <v>641.33333333333337</v>
      </c>
      <c r="R59" s="57">
        <f ca="1">(R58-S58-T58)*(1+'Retirement Planning'!$J$23/12)</f>
        <v>218782.8248226651</v>
      </c>
      <c r="S59" s="58">
        <f t="shared" ca="1" si="17"/>
        <v>358.33333333333337</v>
      </c>
      <c r="T59" s="273">
        <f t="shared" ca="1" si="3"/>
        <v>4.5474735088646412E-13</v>
      </c>
      <c r="U59" s="57">
        <f ca="1">(U58-V58)*(1+'Retirement Planning'!$J$23/12)</f>
        <v>195519.51458997041</v>
      </c>
      <c r="V59" s="24">
        <f ca="1">IF(AND($B$10&lt;55,B59&lt;59.5),MIN(U59,MAX(0,(Y59+AA59+AJ59-G59)*'Retirement Planning'!$J$45)),IF(B59&lt;59.5,(MIN(U59,MAX(0,((Y59+AA59+AJ59)-G59-M59)*'Retirement Planning'!$J$45))),MIN(U59,MAX(0,(Y59+AA59+AJ59-G59-M59-K59-X59)*'Retirement Planning'!$J$45))))</f>
        <v>612.65208177525233</v>
      </c>
      <c r="W59" s="7">
        <f t="shared" ca="1" si="4"/>
        <v>1715655.6897707609</v>
      </c>
      <c r="X59" s="7">
        <f>(IF(B59&gt;'Retirement Planning'!$J$34,IF('Retirement Planning'!$J$34=70,'Retirement Planning'!$J$37/12,IF('Retirement Planning'!$J$34=67,'Retirement Planning'!$J$36/12,'Retirement Planning'!$J$35/12)),0))*'Retirement Planning'!$J$38</f>
        <v>0</v>
      </c>
      <c r="Y59" s="7">
        <f ca="1">'Retirement Planning'!$F$35*((1+'Retirement Planning'!$J$24)^(YEAR('Projected Retirement Drawdown'!C59)-YEAR(TODAY())))</f>
        <v>5957.3980375040628</v>
      </c>
      <c r="Z59" s="7">
        <f ca="1">G59+M59+O59+0.85*X59+V59*'Retirement Planning'!$J$46+T59</f>
        <v>6014.8555126875417</v>
      </c>
      <c r="AA59" s="7">
        <f ca="1">IF(MONTH(C59)=1,(((MIN(MAX(0,((SUM(Z47:Z58)-'Retirement Planning'!$I$53-'Retirement Planning'!$I$54)-'Retirement Planning'!$J$51)*'Retirement Planning'!$I$52))))+(MIN(MAX(0,((SUM(Z47:Z58)-'Retirement Planning'!$I$53-'Retirement Planning'!$I$54)-'Retirement Planning'!$J$50)*'Retirement Planning'!$I$51),('Retirement Planning'!$J$51-'Retirement Planning'!$J$50)*'Retirement Planning'!$I$51))+(MIN(MAX(0,((SUM(Z47:Z58)-'Retirement Planning'!$I$53-'Retirement Planning'!$I$54)-'Retirement Planning'!$J$49)*'Retirement Planning'!$I$50),('Retirement Planning'!$J$50-'Retirement Planning'!$J$49)*'Retirement Planning'!$I$50)+MIN(MAX(0,((SUM(Z47:Z58)-'Retirement Planning'!$I$53-'Retirement Planning'!$I$54)-'Retirement Planning'!$J$48)*'Retirement Planning'!$I$49),('Retirement Planning'!$J$49-'Retirement Planning'!$J$48)*'Retirement Planning'!$I$49)+MIN(((SUM(Z47:Z58)-'Retirement Planning'!$I$53-'Retirement Planning'!$I$54))*'Retirement Planning'!$I$48,('Retirement Planning'!$J$48)*'Retirement Planning'!$I$48))+(IF((SUM(Z47:Z58)-'Retirement Planning'!$I$54-'Retirement Planning'!$I$61)&gt;'Retirement Planning'!$J$59,(SUM(Z47:Z58)-'Retirement Planning'!$I$54-'Retirement Planning'!$I$61-'Retirement Planning'!$J$59)*'Retirement Planning'!$I$60+'Retirement Planning'!$K$59,IF((SUM(Z47:Z58)-'Retirement Planning'!$I$54-'Retirement Planning'!$I$61)&gt;'Retirement Planning'!$J$58,(SUM(Z47:Z58)-'Retirement Planning'!$I$54-'Retirement Planning'!$I$61-'Retirement Planning'!$J$58)*'Retirement Planning'!$I$59+'Retirement Planning'!$K$58,IF((SUM(Z47:Z58)-'Retirement Planning'!$I$54-'Retirement Planning'!$I$61)&gt;'Retirement Planning'!$J$57,(SUM(Z47:Z58)-'Retirement Planning'!$I$54-'Retirement Planning'!$I$61-'Retirement Planning'!$J$57)*'Retirement Planning'!$I$58+'Retirement Planning'!$K$57,IF((SUM(Z47:Z58)-'Retirement Planning'!$I$54-'Retirement Planning'!$I$61)&gt;'Retirement Planning'!$J$56,(SUM(Z47:Z58)-'Retirement Planning'!$I$54-'Retirement Planning'!$I$61-'Retirement Planning'!$J$56)*'Retirement Planning'!$I$57+'Retirement Planning'!$K$56,(SUM(Z47:Z58)-'Retirement Planning'!$I$54-'Retirement Planning'!$I$61)*'Retirement Planning'!$I$56))))))/12,AA58)</f>
        <v>1052.3511818924203</v>
      </c>
      <c r="AB59" s="104">
        <f t="shared" ca="1" si="21"/>
        <v>0.18178067643231507</v>
      </c>
      <c r="AC59" s="7">
        <f>IF(B59&lt;65,'Retirement Planning'!$J$28,0)</f>
        <v>583</v>
      </c>
      <c r="AD59" s="7">
        <f>IF(B59&lt;65,'Retirement Planning'!$J$29/12,0)</f>
        <v>291.66666666666669</v>
      </c>
      <c r="AE59" s="22">
        <f>'Retirement Planning'!$J$31/12</f>
        <v>58.333333333333336</v>
      </c>
      <c r="AF59" s="22">
        <f>'Retirement Planning'!$J$32/12</f>
        <v>66.666666666666671</v>
      </c>
      <c r="AG59" s="7">
        <f>IF($B59&gt;64.9,'Retirement Planning'!$J$39/12,0)</f>
        <v>0</v>
      </c>
      <c r="AH59" s="7">
        <f>IF($B59&gt;64.9,'Retirement Planning'!$J$40/12,0)</f>
        <v>0</v>
      </c>
      <c r="AI59" s="7">
        <f>IF($B59&gt;64.9,'Retirement Planning'!$J$41/12,0)</f>
        <v>0</v>
      </c>
      <c r="AJ59" s="7">
        <f t="shared" ca="1" si="6"/>
        <v>0</v>
      </c>
      <c r="AK59" s="3" t="str">
        <f t="shared" ca="1" si="7"/>
        <v>N/A</v>
      </c>
      <c r="AL59" s="6" t="str">
        <f t="shared" ca="1" si="8"/>
        <v>N/A</v>
      </c>
      <c r="AM59" s="7">
        <f t="shared" ca="1" si="9"/>
        <v>6.8212102632969618E-13</v>
      </c>
      <c r="AN59" s="7">
        <f t="shared" ca="1" si="10"/>
        <v>8009.4158860631496</v>
      </c>
      <c r="AO59" s="7">
        <f t="shared" si="11"/>
        <v>999.66666666666674</v>
      </c>
    </row>
    <row r="60" spans="1:41" x14ac:dyDescent="0.2">
      <c r="A60">
        <f t="shared" si="12"/>
        <v>50</v>
      </c>
      <c r="B60" s="5">
        <f t="shared" si="13"/>
        <v>60.5</v>
      </c>
      <c r="C60" s="56">
        <f t="shared" si="14"/>
        <v>47939</v>
      </c>
      <c r="D60" s="57">
        <f ca="1">IF(AND(B59&lt;59.5,OR(B60&gt;59.5,B60=59.5)),(D59-E59+J59-K59)*(1+'Retirement Planning'!$J$23/12),(D59-E59)*(1+'Retirement Planning'!$J$23/12))</f>
        <v>234578.84074054574</v>
      </c>
      <c r="E60" s="58">
        <f t="shared" ca="1" si="0"/>
        <v>719.20026991007853</v>
      </c>
      <c r="F60" s="57">
        <f ca="1">IF(AND(OR(B60&gt;59.5,B60=59.5),B59&lt;59.5),(F59-G59+L59-M59+N59-O59)*(1+'Retirement Planning'!$J$23/12),(F59-G59)*(1+'Retirement Planning'!$J$23/12))</f>
        <v>1057389.8237180479</v>
      </c>
      <c r="G60" s="58">
        <f ca="1">IF(AND($B$10&lt;55,B60&lt;59.5),'Retirement Planning'!$J$25,IF(OR(B60&gt;59.5,B60=59.5),MAX(0,MIN(F60,IF(D60&lt;2500,((Y60+AJ60+AA60))-X60,((Y60+AJ60+AA60)*'Retirement Planning'!$J$44)-X60))),0))</f>
        <v>5677.8968677111516</v>
      </c>
      <c r="H60" s="255">
        <f ca="1">IF(MONTH(C60)=1,IF(B60&gt;69.5,F60/(INDEX('Retirement Planning'!D$1:D$264,(160+INT(B60))))/12,0),IF(F60=0,0,H59))</f>
        <v>0</v>
      </c>
      <c r="I60" s="262">
        <f t="shared" ca="1" si="1"/>
        <v>0</v>
      </c>
      <c r="J60" s="254">
        <f ca="1">IF(AND(B59&lt;59.5,OR(B60=59.5,B60&gt;59.5)),0,(J59-K59)*(1+'Retirement Planning'!$J$23/12))</f>
        <v>0</v>
      </c>
      <c r="K60" s="58">
        <f t="shared" ca="1" si="2"/>
        <v>0</v>
      </c>
      <c r="L60" s="57">
        <f>IF(AND(OR(B60&gt;59.5,B60=59.5),B59&lt;59.5),0,(L59-M59)*(1+'Retirement Planning'!$J$23/12))</f>
        <v>0</v>
      </c>
      <c r="M60" s="59">
        <f>IF(AND($B$10&lt;55,B60&lt;59.5),0,IF(B60&lt;59.5,MAX(0,MIN((($Y60+$AJ60+AA60)*'Retirement Planning'!$J$44)-$G60-$X60,L60)),0))</f>
        <v>0</v>
      </c>
      <c r="N60" s="57">
        <f ca="1">(N59-O59)*(1+'Retirement Planning'!$J$23/12)</f>
        <v>0</v>
      </c>
      <c r="O60" s="59">
        <f ca="1">IF(B60&gt;59.5,MAX(0,MIN((AA60+$Y60+$AJ60)*(IF(D60&lt;(MIN(E48:E59)+1),1,'Retirement Planning'!$J$44))-M60-$G60-$X60-(IF(D60&lt;(MIN(E48:E59)+1),D60,0)),N60)),0)</f>
        <v>0</v>
      </c>
      <c r="P60" s="57">
        <f t="shared" si="15"/>
        <v>11433.333333333321</v>
      </c>
      <c r="Q60" s="58">
        <f t="shared" si="16"/>
        <v>641.33333333333337</v>
      </c>
      <c r="R60" s="57">
        <f ca="1">(R59-S59-T59)*(1+'Retirement Planning'!$J$23/12)</f>
        <v>219971.66497071454</v>
      </c>
      <c r="S60" s="58">
        <f t="shared" ca="1" si="17"/>
        <v>358.33333333333337</v>
      </c>
      <c r="T60" s="273">
        <f t="shared" ca="1" si="3"/>
        <v>4.5474735088646412E-13</v>
      </c>
      <c r="U60" s="57">
        <f ca="1">(U59-V59)*(1+'Retirement Planning'!$J$23/12)</f>
        <v>196287.45278429487</v>
      </c>
      <c r="V60" s="24">
        <f ca="1">IF(AND($B$10&lt;55,B60&lt;59.5),MIN(U60,MAX(0,(Y60+AA60+AJ60-G60)*'Retirement Planning'!$J$45)),IF(B60&lt;59.5,(MIN(U60,MAX(0,((Y60+AA60+AJ60)-G60-M60)*'Retirement Planning'!$J$45))),MIN(U60,MAX(0,(Y60+AA60+AJ60-G60-M60-K60-X60)*'Retirement Planning'!$J$45))))</f>
        <v>612.65208177525233</v>
      </c>
      <c r="W60" s="7">
        <f t="shared" ca="1" si="4"/>
        <v>1719661.1155469364</v>
      </c>
      <c r="X60" s="7">
        <f>(IF(B60&gt;'Retirement Planning'!$J$34,IF('Retirement Planning'!$J$34=70,'Retirement Planning'!$J$37/12,IF('Retirement Planning'!$J$34=67,'Retirement Planning'!$J$36/12,'Retirement Planning'!$J$35/12)),0))*'Retirement Planning'!$J$38</f>
        <v>0</v>
      </c>
      <c r="Y60" s="7">
        <f ca="1">'Retirement Planning'!$F$35*((1+'Retirement Planning'!$J$24)^(YEAR('Projected Retirement Drawdown'!C60)-YEAR(TODAY())))</f>
        <v>5957.3980375040628</v>
      </c>
      <c r="Z60" s="7">
        <f ca="1">G60+M60+O60+0.85*X60+V60*'Retirement Planning'!$J$46+T60</f>
        <v>6014.8555126875417</v>
      </c>
      <c r="AA60" s="7">
        <f ca="1">IF(MONTH(C60)=1,(((MIN(MAX(0,((SUM(Z48:Z59)-'Retirement Planning'!$I$53-'Retirement Planning'!$I$54)-'Retirement Planning'!$J$51)*'Retirement Planning'!$I$52))))+(MIN(MAX(0,((SUM(Z48:Z59)-'Retirement Planning'!$I$53-'Retirement Planning'!$I$54)-'Retirement Planning'!$J$50)*'Retirement Planning'!$I$51),('Retirement Planning'!$J$51-'Retirement Planning'!$J$50)*'Retirement Planning'!$I$51))+(MIN(MAX(0,((SUM(Z48:Z59)-'Retirement Planning'!$I$53-'Retirement Planning'!$I$54)-'Retirement Planning'!$J$49)*'Retirement Planning'!$I$50),('Retirement Planning'!$J$50-'Retirement Planning'!$J$49)*'Retirement Planning'!$I$50)+MIN(MAX(0,((SUM(Z48:Z59)-'Retirement Planning'!$I$53-'Retirement Planning'!$I$54)-'Retirement Planning'!$J$48)*'Retirement Planning'!$I$49),('Retirement Planning'!$J$49-'Retirement Planning'!$J$48)*'Retirement Planning'!$I$49)+MIN(((SUM(Z48:Z59)-'Retirement Planning'!$I$53-'Retirement Planning'!$I$54))*'Retirement Planning'!$I$48,('Retirement Planning'!$J$48)*'Retirement Planning'!$I$48))+(IF((SUM(Z48:Z59)-'Retirement Planning'!$I$54-'Retirement Planning'!$I$61)&gt;'Retirement Planning'!$J$59,(SUM(Z48:Z59)-'Retirement Planning'!$I$54-'Retirement Planning'!$I$61-'Retirement Planning'!$J$59)*'Retirement Planning'!$I$60+'Retirement Planning'!$K$59,IF((SUM(Z48:Z59)-'Retirement Planning'!$I$54-'Retirement Planning'!$I$61)&gt;'Retirement Planning'!$J$58,(SUM(Z48:Z59)-'Retirement Planning'!$I$54-'Retirement Planning'!$I$61-'Retirement Planning'!$J$58)*'Retirement Planning'!$I$59+'Retirement Planning'!$K$58,IF((SUM(Z48:Z59)-'Retirement Planning'!$I$54-'Retirement Planning'!$I$61)&gt;'Retirement Planning'!$J$57,(SUM(Z48:Z59)-'Retirement Planning'!$I$54-'Retirement Planning'!$I$61-'Retirement Planning'!$J$57)*'Retirement Planning'!$I$58+'Retirement Planning'!$K$57,IF((SUM(Z48:Z59)-'Retirement Planning'!$I$54-'Retirement Planning'!$I$61)&gt;'Retirement Planning'!$J$56,(SUM(Z48:Z59)-'Retirement Planning'!$I$54-'Retirement Planning'!$I$61-'Retirement Planning'!$J$56)*'Retirement Planning'!$I$57+'Retirement Planning'!$K$56,(SUM(Z48:Z59)-'Retirement Planning'!$I$54-'Retirement Planning'!$I$61)*'Retirement Planning'!$I$56))))))/12,AA59)</f>
        <v>1052.3511818924203</v>
      </c>
      <c r="AB60" s="104">
        <f t="shared" ca="1" si="21"/>
        <v>0.18178067643231507</v>
      </c>
      <c r="AC60" s="7">
        <f>IF(B60&lt;65,'Retirement Planning'!$J$28,0)</f>
        <v>583</v>
      </c>
      <c r="AD60" s="7">
        <f>IF(B60&lt;65,'Retirement Planning'!$J$29/12,0)</f>
        <v>291.66666666666669</v>
      </c>
      <c r="AE60" s="22">
        <f>'Retirement Planning'!$J$31/12</f>
        <v>58.333333333333336</v>
      </c>
      <c r="AF60" s="22">
        <f>'Retirement Planning'!$J$32/12</f>
        <v>66.666666666666671</v>
      </c>
      <c r="AG60" s="7">
        <f>IF($B60&gt;64.9,'Retirement Planning'!$J$39/12,0)</f>
        <v>0</v>
      </c>
      <c r="AH60" s="7">
        <f>IF($B60&gt;64.9,'Retirement Planning'!$J$40/12,0)</f>
        <v>0</v>
      </c>
      <c r="AI60" s="7">
        <f>IF($B60&gt;64.9,'Retirement Planning'!$J$41/12,0)</f>
        <v>0</v>
      </c>
      <c r="AJ60" s="7">
        <f t="shared" ca="1" si="6"/>
        <v>0</v>
      </c>
      <c r="AK60" s="3" t="str">
        <f t="shared" ca="1" si="7"/>
        <v>N/A</v>
      </c>
      <c r="AL60" s="6" t="str">
        <f t="shared" ca="1" si="8"/>
        <v>N/A</v>
      </c>
      <c r="AM60" s="7">
        <f t="shared" ca="1" si="9"/>
        <v>6.8212102632969618E-13</v>
      </c>
      <c r="AN60" s="7">
        <f t="shared" ca="1" si="10"/>
        <v>8009.4158860631496</v>
      </c>
      <c r="AO60" s="7">
        <f t="shared" si="11"/>
        <v>999.66666666666674</v>
      </c>
    </row>
    <row r="61" spans="1:41" x14ac:dyDescent="0.2">
      <c r="A61">
        <f t="shared" si="12"/>
        <v>50</v>
      </c>
      <c r="B61" s="5">
        <f t="shared" si="13"/>
        <v>60.5</v>
      </c>
      <c r="C61" s="56">
        <f t="shared" si="14"/>
        <v>47969</v>
      </c>
      <c r="D61" s="57">
        <f ca="1">IF(AND(B60&lt;59.5,OR(B61&gt;59.5,B61=59.5)),(D60-E60+J60-K60)*(1+'Retirement Planning'!$J$23/12),(D60-E60)*(1+'Retirement Planning'!$J$23/12))</f>
        <v>235516.14625730267</v>
      </c>
      <c r="E61" s="58">
        <f t="shared" ca="1" si="0"/>
        <v>719.20026991007853</v>
      </c>
      <c r="F61" s="57">
        <f ca="1">IF(AND(OR(B61&gt;59.5,B61=59.5),B60&lt;59.5),(F60-G60+L60-M60+N60-O60)*(1+'Retirement Planning'!$J$23/12),(F60-G60)*(1+'Retirement Planning'!$J$23/12))</f>
        <v>1059161.5529988601</v>
      </c>
      <c r="G61" s="58">
        <f ca="1">IF(AND($B$10&lt;55,B61&lt;59.5),'Retirement Planning'!$J$25,IF(OR(B61&gt;59.5,B61=59.5),MAX(0,MIN(F61,IF(D61&lt;2500,((Y61+AJ61+AA61))-X61,((Y61+AJ61+AA61)*'Retirement Planning'!$J$44)-X61))),0))</f>
        <v>5677.8968677111516</v>
      </c>
      <c r="H61" s="255">
        <f ca="1">IF(MONTH(C61)=1,IF(B61&gt;69.5,F61/(INDEX('Retirement Planning'!D$1:D$264,(160+INT(B61))))/12,0),IF(F61=0,0,H60))</f>
        <v>0</v>
      </c>
      <c r="I61" s="262">
        <f t="shared" ca="1" si="1"/>
        <v>0</v>
      </c>
      <c r="J61" s="254">
        <f ca="1">IF(AND(B60&lt;59.5,OR(B61=59.5,B61&gt;59.5)),0,(J60-K60)*(1+'Retirement Planning'!$J$23/12))</f>
        <v>0</v>
      </c>
      <c r="K61" s="58">
        <f t="shared" ca="1" si="2"/>
        <v>0</v>
      </c>
      <c r="L61" s="57">
        <f>IF(AND(OR(B61&gt;59.5,B61=59.5),B60&lt;59.5),0,(L60-M60)*(1+'Retirement Planning'!$J$23/12))</f>
        <v>0</v>
      </c>
      <c r="M61" s="59">
        <f>IF(AND($B$10&lt;55,B61&lt;59.5),0,IF(B61&lt;59.5,MAX(0,MIN((($Y61+$AJ61+AA61)*'Retirement Planning'!$J$44)-$G61-$X61,L61)),0))</f>
        <v>0</v>
      </c>
      <c r="N61" s="57">
        <f ca="1">(N60-O60)*(1+'Retirement Planning'!$J$23/12)</f>
        <v>0</v>
      </c>
      <c r="O61" s="59">
        <f ca="1">IF(B61&gt;59.5,MAX(0,MIN((AA61+$Y61+$AJ61)*(IF(D61&lt;(MIN(E49:E60)+1),1,'Retirement Planning'!$J$44))-M61-$G61-$X61-(IF(D61&lt;(MIN(E49:E60)+1),D61,0)),N61)),0)</f>
        <v>0</v>
      </c>
      <c r="P61" s="57">
        <f t="shared" si="15"/>
        <v>10791.999999999987</v>
      </c>
      <c r="Q61" s="58">
        <f t="shared" si="16"/>
        <v>641.33333333333337</v>
      </c>
      <c r="R61" s="57">
        <f ca="1">(R60-S60-T60)*(1+'Retirement Planning'!$J$23/12)</f>
        <v>221168.92606981265</v>
      </c>
      <c r="S61" s="58">
        <f t="shared" ca="1" si="17"/>
        <v>358.33333333333337</v>
      </c>
      <c r="T61" s="273">
        <f t="shared" ca="1" si="3"/>
        <v>4.5474735088646412E-13</v>
      </c>
      <c r="U61" s="57">
        <f ca="1">(U60-V60)*(1+'Retirement Planning'!$J$23/12)</f>
        <v>197060.83054082913</v>
      </c>
      <c r="V61" s="24">
        <f ca="1">IF(AND($B$10&lt;55,B61&lt;59.5),MIN(U61,MAX(0,(Y61+AA61+AJ61-G61)*'Retirement Planning'!$J$45)),IF(B61&lt;59.5,(MIN(U61,MAX(0,((Y61+AA61+AJ61)-G61-M61)*'Retirement Planning'!$J$45))),MIN(U61,MAX(0,(Y61+AA61+AJ61-G61-M61-K61-X61)*'Retirement Planning'!$J$45))))</f>
        <v>612.65208177525233</v>
      </c>
      <c r="W61" s="7">
        <f t="shared" ca="1" si="4"/>
        <v>1723699.4558668046</v>
      </c>
      <c r="X61" s="7">
        <f>(IF(B61&gt;'Retirement Planning'!$J$34,IF('Retirement Planning'!$J$34=70,'Retirement Planning'!$J$37/12,IF('Retirement Planning'!$J$34=67,'Retirement Planning'!$J$36/12,'Retirement Planning'!$J$35/12)),0))*'Retirement Planning'!$J$38</f>
        <v>0</v>
      </c>
      <c r="Y61" s="7">
        <f ca="1">'Retirement Planning'!$F$35*((1+'Retirement Planning'!$J$24)^(YEAR('Projected Retirement Drawdown'!C61)-YEAR(TODAY())))</f>
        <v>5957.3980375040628</v>
      </c>
      <c r="Z61" s="7">
        <f ca="1">G61+M61+O61+0.85*X61+V61*'Retirement Planning'!$J$46+T61</f>
        <v>6014.8555126875417</v>
      </c>
      <c r="AA61" s="7">
        <f ca="1">IF(MONTH(C61)=1,(((MIN(MAX(0,((SUM(Z49:Z60)-'Retirement Planning'!$I$53-'Retirement Planning'!$I$54)-'Retirement Planning'!$J$51)*'Retirement Planning'!$I$52))))+(MIN(MAX(0,((SUM(Z49:Z60)-'Retirement Planning'!$I$53-'Retirement Planning'!$I$54)-'Retirement Planning'!$J$50)*'Retirement Planning'!$I$51),('Retirement Planning'!$J$51-'Retirement Planning'!$J$50)*'Retirement Planning'!$I$51))+(MIN(MAX(0,((SUM(Z49:Z60)-'Retirement Planning'!$I$53-'Retirement Planning'!$I$54)-'Retirement Planning'!$J$49)*'Retirement Planning'!$I$50),('Retirement Planning'!$J$50-'Retirement Planning'!$J$49)*'Retirement Planning'!$I$50)+MIN(MAX(0,((SUM(Z49:Z60)-'Retirement Planning'!$I$53-'Retirement Planning'!$I$54)-'Retirement Planning'!$J$48)*'Retirement Planning'!$I$49),('Retirement Planning'!$J$49-'Retirement Planning'!$J$48)*'Retirement Planning'!$I$49)+MIN(((SUM(Z49:Z60)-'Retirement Planning'!$I$53-'Retirement Planning'!$I$54))*'Retirement Planning'!$I$48,('Retirement Planning'!$J$48)*'Retirement Planning'!$I$48))+(IF((SUM(Z49:Z60)-'Retirement Planning'!$I$54-'Retirement Planning'!$I$61)&gt;'Retirement Planning'!$J$59,(SUM(Z49:Z60)-'Retirement Planning'!$I$54-'Retirement Planning'!$I$61-'Retirement Planning'!$J$59)*'Retirement Planning'!$I$60+'Retirement Planning'!$K$59,IF((SUM(Z49:Z60)-'Retirement Planning'!$I$54-'Retirement Planning'!$I$61)&gt;'Retirement Planning'!$J$58,(SUM(Z49:Z60)-'Retirement Planning'!$I$54-'Retirement Planning'!$I$61-'Retirement Planning'!$J$58)*'Retirement Planning'!$I$59+'Retirement Planning'!$K$58,IF((SUM(Z49:Z60)-'Retirement Planning'!$I$54-'Retirement Planning'!$I$61)&gt;'Retirement Planning'!$J$57,(SUM(Z49:Z60)-'Retirement Planning'!$I$54-'Retirement Planning'!$I$61-'Retirement Planning'!$J$57)*'Retirement Planning'!$I$58+'Retirement Planning'!$K$57,IF((SUM(Z49:Z60)-'Retirement Planning'!$I$54-'Retirement Planning'!$I$61)&gt;'Retirement Planning'!$J$56,(SUM(Z49:Z60)-'Retirement Planning'!$I$54-'Retirement Planning'!$I$61-'Retirement Planning'!$J$56)*'Retirement Planning'!$I$57+'Retirement Planning'!$K$56,(SUM(Z49:Z60)-'Retirement Planning'!$I$54-'Retirement Planning'!$I$61)*'Retirement Planning'!$I$56))))))/12,AA60)</f>
        <v>1052.3511818924203</v>
      </c>
      <c r="AB61" s="104">
        <f t="shared" ca="1" si="21"/>
        <v>0.18178067643231507</v>
      </c>
      <c r="AC61" s="7">
        <f>IF(B61&lt;65,'Retirement Planning'!$J$28,0)</f>
        <v>583</v>
      </c>
      <c r="AD61" s="7">
        <f>IF(B61&lt;65,'Retirement Planning'!$J$29/12,0)</f>
        <v>291.66666666666669</v>
      </c>
      <c r="AE61" s="22">
        <f>'Retirement Planning'!$J$31/12</f>
        <v>58.333333333333336</v>
      </c>
      <c r="AF61" s="22">
        <f>'Retirement Planning'!$J$32/12</f>
        <v>66.666666666666671</v>
      </c>
      <c r="AG61" s="7">
        <f>IF($B61&gt;64.9,'Retirement Planning'!$J$39/12,0)</f>
        <v>0</v>
      </c>
      <c r="AH61" s="7">
        <f>IF($B61&gt;64.9,'Retirement Planning'!$J$40/12,0)</f>
        <v>0</v>
      </c>
      <c r="AI61" s="7">
        <f>IF($B61&gt;64.9,'Retirement Planning'!$J$41/12,0)</f>
        <v>0</v>
      </c>
      <c r="AJ61" s="7">
        <f t="shared" ca="1" si="6"/>
        <v>0</v>
      </c>
      <c r="AK61" s="3" t="str">
        <f t="shared" ca="1" si="7"/>
        <v>N/A</v>
      </c>
      <c r="AL61" s="6" t="str">
        <f t="shared" ca="1" si="8"/>
        <v>N/A</v>
      </c>
      <c r="AM61" s="7">
        <f t="shared" ca="1" si="9"/>
        <v>6.8212102632969618E-13</v>
      </c>
      <c r="AN61" s="7">
        <f t="shared" ca="1" si="10"/>
        <v>8009.4158860631496</v>
      </c>
      <c r="AO61" s="7">
        <f t="shared" si="11"/>
        <v>999.66666666666674</v>
      </c>
    </row>
    <row r="62" spans="1:41" x14ac:dyDescent="0.2">
      <c r="A62">
        <f t="shared" si="12"/>
        <v>50</v>
      </c>
      <c r="B62" s="5">
        <f t="shared" si="13"/>
        <v>60.6</v>
      </c>
      <c r="C62" s="56">
        <f t="shared" si="14"/>
        <v>48000</v>
      </c>
      <c r="D62" s="57">
        <f ca="1">IF(AND(B61&lt;59.5,OR(B62&gt;59.5,B62=59.5)),(D61-E61+J61-K61)*(1+'Retirement Planning'!$J$23/12),(D61-E61)*(1+'Retirement Planning'!$J$23/12))</f>
        <v>236460.09102146997</v>
      </c>
      <c r="E62" s="58">
        <f t="shared" ca="1" si="0"/>
        <v>719.20026991007853</v>
      </c>
      <c r="F62" s="57">
        <f ca="1">IF(AND(OR(B62&gt;59.5,B62=59.5),B61&lt;59.5),(F61-G61+L61-M61+N61-O61)*(1+'Retirement Planning'!$J$23/12),(F61-G61)*(1+'Retirement Planning'!$J$23/12))</f>
        <v>1060945.8320287447</v>
      </c>
      <c r="G62" s="58">
        <f ca="1">IF(AND($B$10&lt;55,B62&lt;59.5),'Retirement Planning'!$J$25,IF(OR(B62&gt;59.5,B62=59.5),MAX(0,MIN(F62,IF(D62&lt;2500,((Y62+AJ62+AA62))-X62,((Y62+AJ62+AA62)*'Retirement Planning'!$J$44)-X62))),0))</f>
        <v>5677.8968677111516</v>
      </c>
      <c r="H62" s="255">
        <f ca="1">IF(MONTH(C62)=1,IF(B62&gt;69.5,F62/(INDEX('Retirement Planning'!D$1:D$264,(160+INT(B62))))/12,0),IF(F62=0,0,H61))</f>
        <v>0</v>
      </c>
      <c r="I62" s="262">
        <f t="shared" ca="1" si="1"/>
        <v>0</v>
      </c>
      <c r="J62" s="254">
        <f ca="1">IF(AND(B61&lt;59.5,OR(B62=59.5,B62&gt;59.5)),0,(J61-K61)*(1+'Retirement Planning'!$J$23/12))</f>
        <v>0</v>
      </c>
      <c r="K62" s="58">
        <f t="shared" ca="1" si="2"/>
        <v>0</v>
      </c>
      <c r="L62" s="57">
        <f>IF(AND(OR(B62&gt;59.5,B62=59.5),B61&lt;59.5),0,(L61-M61)*(1+'Retirement Planning'!$J$23/12))</f>
        <v>0</v>
      </c>
      <c r="M62" s="59">
        <f>IF(AND($B$10&lt;55,B62&lt;59.5),0,IF(B62&lt;59.5,MAX(0,MIN((($Y62+$AJ62+AA62)*'Retirement Planning'!$J$44)-$G62-$X62,L62)),0))</f>
        <v>0</v>
      </c>
      <c r="N62" s="57">
        <f ca="1">(N61-O61)*(1+'Retirement Planning'!$J$23/12)</f>
        <v>0</v>
      </c>
      <c r="O62" s="59">
        <f ca="1">IF(B62&gt;59.5,MAX(0,MIN((AA62+$Y62+$AJ62)*(IF(D62&lt;(MIN(E50:E61)+1),1,'Retirement Planning'!$J$44))-M62-$G62-$X62-(IF(D62&lt;(MIN(E50:E61)+1),D62,0)),N62)),0)</f>
        <v>0</v>
      </c>
      <c r="P62" s="57">
        <f t="shared" si="15"/>
        <v>10150.666666666653</v>
      </c>
      <c r="Q62" s="58">
        <f t="shared" si="16"/>
        <v>641.33333333333337</v>
      </c>
      <c r="R62" s="57">
        <f ca="1">(R61-S61-T61)*(1+'Retirement Planning'!$J$23/12)</f>
        <v>222374.66776836271</v>
      </c>
      <c r="S62" s="58">
        <f t="shared" ca="1" si="17"/>
        <v>358.33333333333337</v>
      </c>
      <c r="T62" s="273">
        <f t="shared" ca="1" si="3"/>
        <v>4.5474735088646412E-13</v>
      </c>
      <c r="U62" s="57">
        <f ca="1">(U61-V61)*(1+'Retirement Planning'!$J$23/12)</f>
        <v>197839.68638980552</v>
      </c>
      <c r="V62" s="24">
        <f ca="1">IF(AND($B$10&lt;55,B62&lt;59.5),MIN(U62,MAX(0,(Y62+AA62+AJ62-G62)*'Retirement Planning'!$J$45)),IF(B62&lt;59.5,(MIN(U62,MAX(0,((Y62+AA62+AJ62)-G62-M62)*'Retirement Planning'!$J$45))),MIN(U62,MAX(0,(Y62+AA62+AJ62-G62-M62-K62-X62)*'Retirement Planning'!$J$45))))</f>
        <v>612.65208177525233</v>
      </c>
      <c r="W62" s="7">
        <f t="shared" ca="1" si="4"/>
        <v>1727770.9438750497</v>
      </c>
      <c r="X62" s="7">
        <f>(IF(B62&gt;'Retirement Planning'!$J$34,IF('Retirement Planning'!$J$34=70,'Retirement Planning'!$J$37/12,IF('Retirement Planning'!$J$34=67,'Retirement Planning'!$J$36/12,'Retirement Planning'!$J$35/12)),0))*'Retirement Planning'!$J$38</f>
        <v>0</v>
      </c>
      <c r="Y62" s="7">
        <f ca="1">'Retirement Planning'!$F$35*((1+'Retirement Planning'!$J$24)^(YEAR('Projected Retirement Drawdown'!C62)-YEAR(TODAY())))</f>
        <v>5957.3980375040628</v>
      </c>
      <c r="Z62" s="7">
        <f ca="1">G62+M62+O62+0.85*X62+V62*'Retirement Planning'!$J$46+T62</f>
        <v>6014.8555126875417</v>
      </c>
      <c r="AA62" s="7">
        <f ca="1">IF(MONTH(C62)=1,(((MIN(MAX(0,((SUM(Z50:Z61)-'Retirement Planning'!$I$53-'Retirement Planning'!$I$54)-'Retirement Planning'!$J$51)*'Retirement Planning'!$I$52))))+(MIN(MAX(0,((SUM(Z50:Z61)-'Retirement Planning'!$I$53-'Retirement Planning'!$I$54)-'Retirement Planning'!$J$50)*'Retirement Planning'!$I$51),('Retirement Planning'!$J$51-'Retirement Planning'!$J$50)*'Retirement Planning'!$I$51))+(MIN(MAX(0,((SUM(Z50:Z61)-'Retirement Planning'!$I$53-'Retirement Planning'!$I$54)-'Retirement Planning'!$J$49)*'Retirement Planning'!$I$50),('Retirement Planning'!$J$50-'Retirement Planning'!$J$49)*'Retirement Planning'!$I$50)+MIN(MAX(0,((SUM(Z50:Z61)-'Retirement Planning'!$I$53-'Retirement Planning'!$I$54)-'Retirement Planning'!$J$48)*'Retirement Planning'!$I$49),('Retirement Planning'!$J$49-'Retirement Planning'!$J$48)*'Retirement Planning'!$I$49)+MIN(((SUM(Z50:Z61)-'Retirement Planning'!$I$53-'Retirement Planning'!$I$54))*'Retirement Planning'!$I$48,('Retirement Planning'!$J$48)*'Retirement Planning'!$I$48))+(IF((SUM(Z50:Z61)-'Retirement Planning'!$I$54-'Retirement Planning'!$I$61)&gt;'Retirement Planning'!$J$59,(SUM(Z50:Z61)-'Retirement Planning'!$I$54-'Retirement Planning'!$I$61-'Retirement Planning'!$J$59)*'Retirement Planning'!$I$60+'Retirement Planning'!$K$59,IF((SUM(Z50:Z61)-'Retirement Planning'!$I$54-'Retirement Planning'!$I$61)&gt;'Retirement Planning'!$J$58,(SUM(Z50:Z61)-'Retirement Planning'!$I$54-'Retirement Planning'!$I$61-'Retirement Planning'!$J$58)*'Retirement Planning'!$I$59+'Retirement Planning'!$K$58,IF((SUM(Z50:Z61)-'Retirement Planning'!$I$54-'Retirement Planning'!$I$61)&gt;'Retirement Planning'!$J$57,(SUM(Z50:Z61)-'Retirement Planning'!$I$54-'Retirement Planning'!$I$61-'Retirement Planning'!$J$57)*'Retirement Planning'!$I$58+'Retirement Planning'!$K$57,IF((SUM(Z50:Z61)-'Retirement Planning'!$I$54-'Retirement Planning'!$I$61)&gt;'Retirement Planning'!$J$56,(SUM(Z50:Z61)-'Retirement Planning'!$I$54-'Retirement Planning'!$I$61-'Retirement Planning'!$J$56)*'Retirement Planning'!$I$57+'Retirement Planning'!$K$56,(SUM(Z50:Z61)-'Retirement Planning'!$I$54-'Retirement Planning'!$I$61)*'Retirement Planning'!$I$56))))))/12,AA61)</f>
        <v>1052.3511818924203</v>
      </c>
      <c r="AB62" s="104">
        <f t="shared" ca="1" si="21"/>
        <v>0.18178067643231507</v>
      </c>
      <c r="AC62" s="7">
        <f>IF(B62&lt;65,'Retirement Planning'!$J$28,0)</f>
        <v>583</v>
      </c>
      <c r="AD62" s="7">
        <f>IF(B62&lt;65,'Retirement Planning'!$J$29/12,0)</f>
        <v>291.66666666666669</v>
      </c>
      <c r="AE62" s="22">
        <f>'Retirement Planning'!$J$31/12</f>
        <v>58.333333333333336</v>
      </c>
      <c r="AF62" s="22">
        <f>'Retirement Planning'!$J$32/12</f>
        <v>66.666666666666671</v>
      </c>
      <c r="AG62" s="7">
        <f>IF($B62&gt;64.9,'Retirement Planning'!$J$39/12,0)</f>
        <v>0</v>
      </c>
      <c r="AH62" s="7">
        <f>IF($B62&gt;64.9,'Retirement Planning'!$J$40/12,0)</f>
        <v>0</v>
      </c>
      <c r="AI62" s="7">
        <f>IF($B62&gt;64.9,'Retirement Planning'!$J$41/12,0)</f>
        <v>0</v>
      </c>
      <c r="AJ62" s="7">
        <f t="shared" ca="1" si="6"/>
        <v>0</v>
      </c>
      <c r="AK62" s="3" t="str">
        <f t="shared" ca="1" si="7"/>
        <v>N/A</v>
      </c>
      <c r="AL62" s="6" t="str">
        <f t="shared" ca="1" si="8"/>
        <v>N/A</v>
      </c>
      <c r="AM62" s="7">
        <f t="shared" ca="1" si="9"/>
        <v>6.8212102632969618E-13</v>
      </c>
      <c r="AN62" s="7">
        <f t="shared" ca="1" si="10"/>
        <v>8009.4158860631496</v>
      </c>
      <c r="AO62" s="7">
        <f t="shared" si="11"/>
        <v>999.66666666666674</v>
      </c>
    </row>
    <row r="63" spans="1:41" x14ac:dyDescent="0.2">
      <c r="A63">
        <f t="shared" si="12"/>
        <v>50</v>
      </c>
      <c r="B63" s="5">
        <f t="shared" si="13"/>
        <v>60.7</v>
      </c>
      <c r="C63" s="56">
        <f t="shared" si="14"/>
        <v>48030</v>
      </c>
      <c r="D63" s="57">
        <f ca="1">IF(AND(B62&lt;59.5,OR(B63&gt;59.5,B63=59.5)),(D62-E62+J62-K62)*(1+'Retirement Planning'!$J$23/12),(D62-E62)*(1+'Retirement Planning'!$J$23/12))</f>
        <v>237410.72206105012</v>
      </c>
      <c r="E63" s="58">
        <f t="shared" ca="1" si="0"/>
        <v>719.20026991007853</v>
      </c>
      <c r="F63" s="57">
        <f ca="1">IF(AND(OR(B63&gt;59.5,B63=59.5),B62&lt;59.5),(F62-G62+L62-M62+N62-O62)*(1+'Retirement Planning'!$J$23/12),(F62-G62)*(1+'Retirement Planning'!$J$23/12))</f>
        <v>1062742.7497017577</v>
      </c>
      <c r="G63" s="58">
        <f ca="1">IF(AND($B$10&lt;55,B63&lt;59.5),'Retirement Planning'!$J$25,IF(OR(B63&gt;59.5,B63=59.5),MAX(0,MIN(F63,IF(D63&lt;2500,((Y63+AJ63+AA63))-X63,((Y63+AJ63+AA63)*'Retirement Planning'!$J$44)-X63))),0))</f>
        <v>5677.8968677111516</v>
      </c>
      <c r="H63" s="255">
        <f ca="1">IF(MONTH(C63)=1,IF(B63&gt;69.5,F63/(INDEX('Retirement Planning'!D$1:D$264,(160+INT(B63))))/12,0),IF(F63=0,0,H62))</f>
        <v>0</v>
      </c>
      <c r="I63" s="262">
        <f t="shared" ca="1" si="1"/>
        <v>0</v>
      </c>
      <c r="J63" s="254">
        <f ca="1">IF(AND(B62&lt;59.5,OR(B63=59.5,B63&gt;59.5)),0,(J62-K62)*(1+'Retirement Planning'!$J$23/12))</f>
        <v>0</v>
      </c>
      <c r="K63" s="58">
        <f t="shared" ca="1" si="2"/>
        <v>0</v>
      </c>
      <c r="L63" s="57">
        <f>IF(AND(OR(B63&gt;59.5,B63=59.5),B62&lt;59.5),0,(L62-M62)*(1+'Retirement Planning'!$J$23/12))</f>
        <v>0</v>
      </c>
      <c r="M63" s="59">
        <f>IF(AND($B$10&lt;55,B63&lt;59.5),0,IF(B63&lt;59.5,MAX(0,MIN((($Y63+$AJ63+AA63)*'Retirement Planning'!$J$44)-$G63-$X63,L63)),0))</f>
        <v>0</v>
      </c>
      <c r="N63" s="57">
        <f ca="1">(N62-O62)*(1+'Retirement Planning'!$J$23/12)</f>
        <v>0</v>
      </c>
      <c r="O63" s="59">
        <f ca="1">IF(B63&gt;59.5,MAX(0,MIN((AA63+$Y63+$AJ63)*(IF(D63&lt;(MIN(E51:E62)+1),1,'Retirement Planning'!$J$44))-M63-$G63-$X63-(IF(D63&lt;(MIN(E51:E62)+1),D63,0)),N63)),0)</f>
        <v>0</v>
      </c>
      <c r="P63" s="57">
        <f t="shared" si="15"/>
        <v>9509.3333333333194</v>
      </c>
      <c r="Q63" s="58">
        <f t="shared" si="16"/>
        <v>641.33333333333337</v>
      </c>
      <c r="R63" s="57">
        <f ca="1">(R62-S62-T62)*(1+'Retirement Planning'!$J$23/12)</f>
        <v>223588.95013727748</v>
      </c>
      <c r="S63" s="58">
        <f t="shared" ca="1" si="17"/>
        <v>358.33333333333337</v>
      </c>
      <c r="T63" s="273">
        <f t="shared" ca="1" si="3"/>
        <v>4.5474735088646412E-13</v>
      </c>
      <c r="U63" s="57">
        <f ca="1">(U62-V62)*(1+'Retirement Planning'!$J$23/12)</f>
        <v>198624.05913437883</v>
      </c>
      <c r="V63" s="24">
        <f ca="1">IF(AND($B$10&lt;55,B63&lt;59.5),MIN(U63,MAX(0,(Y63+AA63+AJ63-G63)*'Retirement Planning'!$J$45)),IF(B63&lt;59.5,(MIN(U63,MAX(0,((Y63+AA63+AJ63)-G63-M63)*'Retirement Planning'!$J$45))),MIN(U63,MAX(0,(Y63+AA63+AJ63-G63-M63-K63-X63)*'Retirement Planning'!$J$45))))</f>
        <v>612.65208177525233</v>
      </c>
      <c r="W63" s="7">
        <f t="shared" ca="1" si="4"/>
        <v>1731875.8143677975</v>
      </c>
      <c r="X63" s="7">
        <f>(IF(B63&gt;'Retirement Planning'!$J$34,IF('Retirement Planning'!$J$34=70,'Retirement Planning'!$J$37/12,IF('Retirement Planning'!$J$34=67,'Retirement Planning'!$J$36/12,'Retirement Planning'!$J$35/12)),0))*'Retirement Planning'!$J$38</f>
        <v>0</v>
      </c>
      <c r="Y63" s="7">
        <f ca="1">'Retirement Planning'!$F$35*((1+'Retirement Planning'!$J$24)^(YEAR('Projected Retirement Drawdown'!C63)-YEAR(TODAY())))</f>
        <v>5957.3980375040628</v>
      </c>
      <c r="Z63" s="7">
        <f ca="1">G63+M63+O63+0.85*X63+V63*'Retirement Planning'!$J$46+T63</f>
        <v>6014.8555126875417</v>
      </c>
      <c r="AA63" s="7">
        <f ca="1">IF(MONTH(C63)=1,(((MIN(MAX(0,((SUM(Z51:Z62)-'Retirement Planning'!$I$53-'Retirement Planning'!$I$54)-'Retirement Planning'!$J$51)*'Retirement Planning'!$I$52))))+(MIN(MAX(0,((SUM(Z51:Z62)-'Retirement Planning'!$I$53-'Retirement Planning'!$I$54)-'Retirement Planning'!$J$50)*'Retirement Planning'!$I$51),('Retirement Planning'!$J$51-'Retirement Planning'!$J$50)*'Retirement Planning'!$I$51))+(MIN(MAX(0,((SUM(Z51:Z62)-'Retirement Planning'!$I$53-'Retirement Planning'!$I$54)-'Retirement Planning'!$J$49)*'Retirement Planning'!$I$50),('Retirement Planning'!$J$50-'Retirement Planning'!$J$49)*'Retirement Planning'!$I$50)+MIN(MAX(0,((SUM(Z51:Z62)-'Retirement Planning'!$I$53-'Retirement Planning'!$I$54)-'Retirement Planning'!$J$48)*'Retirement Planning'!$I$49),('Retirement Planning'!$J$49-'Retirement Planning'!$J$48)*'Retirement Planning'!$I$49)+MIN(((SUM(Z51:Z62)-'Retirement Planning'!$I$53-'Retirement Planning'!$I$54))*'Retirement Planning'!$I$48,('Retirement Planning'!$J$48)*'Retirement Planning'!$I$48))+(IF((SUM(Z51:Z62)-'Retirement Planning'!$I$54-'Retirement Planning'!$I$61)&gt;'Retirement Planning'!$J$59,(SUM(Z51:Z62)-'Retirement Planning'!$I$54-'Retirement Planning'!$I$61-'Retirement Planning'!$J$59)*'Retirement Planning'!$I$60+'Retirement Planning'!$K$59,IF((SUM(Z51:Z62)-'Retirement Planning'!$I$54-'Retirement Planning'!$I$61)&gt;'Retirement Planning'!$J$58,(SUM(Z51:Z62)-'Retirement Planning'!$I$54-'Retirement Planning'!$I$61-'Retirement Planning'!$J$58)*'Retirement Planning'!$I$59+'Retirement Planning'!$K$58,IF((SUM(Z51:Z62)-'Retirement Planning'!$I$54-'Retirement Planning'!$I$61)&gt;'Retirement Planning'!$J$57,(SUM(Z51:Z62)-'Retirement Planning'!$I$54-'Retirement Planning'!$I$61-'Retirement Planning'!$J$57)*'Retirement Planning'!$I$58+'Retirement Planning'!$K$57,IF((SUM(Z51:Z62)-'Retirement Planning'!$I$54-'Retirement Planning'!$I$61)&gt;'Retirement Planning'!$J$56,(SUM(Z51:Z62)-'Retirement Planning'!$I$54-'Retirement Planning'!$I$61-'Retirement Planning'!$J$56)*'Retirement Planning'!$I$57+'Retirement Planning'!$K$56,(SUM(Z51:Z62)-'Retirement Planning'!$I$54-'Retirement Planning'!$I$61)*'Retirement Planning'!$I$56))))))/12,AA62)</f>
        <v>1052.3511818924203</v>
      </c>
      <c r="AB63" s="104">
        <f t="shared" ca="1" si="21"/>
        <v>0.18178067643231507</v>
      </c>
      <c r="AC63" s="7">
        <f>IF(B63&lt;65,'Retirement Planning'!$J$28,0)</f>
        <v>583</v>
      </c>
      <c r="AD63" s="7">
        <f>IF(B63&lt;65,'Retirement Planning'!$J$29/12,0)</f>
        <v>291.66666666666669</v>
      </c>
      <c r="AE63" s="22">
        <f>'Retirement Planning'!$J$31/12</f>
        <v>58.333333333333336</v>
      </c>
      <c r="AF63" s="22">
        <f>'Retirement Planning'!$J$32/12</f>
        <v>66.666666666666671</v>
      </c>
      <c r="AG63" s="7">
        <f>IF($B63&gt;64.9,'Retirement Planning'!$J$39/12,0)</f>
        <v>0</v>
      </c>
      <c r="AH63" s="7">
        <f>IF($B63&gt;64.9,'Retirement Planning'!$J$40/12,0)</f>
        <v>0</v>
      </c>
      <c r="AI63" s="7">
        <f>IF($B63&gt;64.9,'Retirement Planning'!$J$41/12,0)</f>
        <v>0</v>
      </c>
      <c r="AJ63" s="7">
        <f t="shared" ca="1" si="6"/>
        <v>0</v>
      </c>
      <c r="AK63" s="3" t="str">
        <f t="shared" ca="1" si="7"/>
        <v>N/A</v>
      </c>
      <c r="AL63" s="6" t="str">
        <f t="shared" ca="1" si="8"/>
        <v>N/A</v>
      </c>
      <c r="AM63" s="7">
        <f t="shared" ca="1" si="9"/>
        <v>6.8212102632969618E-13</v>
      </c>
      <c r="AN63" s="7">
        <f t="shared" ca="1" si="10"/>
        <v>8009.4158860631496</v>
      </c>
      <c r="AO63" s="7">
        <f t="shared" si="11"/>
        <v>999.66666666666674</v>
      </c>
    </row>
    <row r="64" spans="1:41" x14ac:dyDescent="0.2">
      <c r="A64">
        <f t="shared" si="12"/>
        <v>50</v>
      </c>
      <c r="B64" s="5">
        <f t="shared" si="13"/>
        <v>60.8</v>
      </c>
      <c r="C64" s="56">
        <f t="shared" si="14"/>
        <v>48061</v>
      </c>
      <c r="D64" s="57">
        <f ca="1">IF(AND(B63&lt;59.5,OR(B64&gt;59.5,B64=59.5)),(D63-E63+J63-K63)*(1+'Retirement Planning'!$J$23/12),(D63-E63)*(1+'Retirement Planning'!$J$23/12))</f>
        <v>238368.08673716063</v>
      </c>
      <c r="E64" s="58">
        <f t="shared" ca="1" si="0"/>
        <v>719.20026991007853</v>
      </c>
      <c r="F64" s="57">
        <f ca="1">IF(AND(OR(B64&gt;59.5,B64=59.5),B63&lt;59.5),(F63-G63+L63-M63+N63-O63)*(1+'Retirement Planning'!$J$23/12),(F63-G63)*(1+'Retirement Planning'!$J$23/12))</f>
        <v>1064552.3955416211</v>
      </c>
      <c r="G64" s="58">
        <f ca="1">IF(AND($B$10&lt;55,B64&lt;59.5),'Retirement Planning'!$J$25,IF(OR(B64&gt;59.5,B64=59.5),MAX(0,MIN(F64,IF(D64&lt;2500,((Y64+AJ64+AA64))-X64,((Y64+AJ64+AA64)*'Retirement Planning'!$J$44)-X64))),0))</f>
        <v>5677.8968677111516</v>
      </c>
      <c r="H64" s="255">
        <f ca="1">IF(MONTH(C64)=1,IF(B64&gt;69.5,F64/(INDEX('Retirement Planning'!D$1:D$264,(160+INT(B64))))/12,0),IF(F64=0,0,H63))</f>
        <v>0</v>
      </c>
      <c r="I64" s="262">
        <f t="shared" ca="1" si="1"/>
        <v>0</v>
      </c>
      <c r="J64" s="254">
        <f ca="1">IF(AND(B63&lt;59.5,OR(B64=59.5,B64&gt;59.5)),0,(J63-K63)*(1+'Retirement Planning'!$J$23/12))</f>
        <v>0</v>
      </c>
      <c r="K64" s="58">
        <f t="shared" ca="1" si="2"/>
        <v>0</v>
      </c>
      <c r="L64" s="57">
        <f>IF(AND(OR(B64&gt;59.5,B64=59.5),B63&lt;59.5),0,(L63-M63)*(1+'Retirement Planning'!$J$23/12))</f>
        <v>0</v>
      </c>
      <c r="M64" s="59">
        <f>IF(AND($B$10&lt;55,B64&lt;59.5),0,IF(B64&lt;59.5,MAX(0,MIN((($Y64+$AJ64+AA64)*'Retirement Planning'!$J$44)-$G64-$X64,L64)),0))</f>
        <v>0</v>
      </c>
      <c r="N64" s="57">
        <f ca="1">(N63-O63)*(1+'Retirement Planning'!$J$23/12)</f>
        <v>0</v>
      </c>
      <c r="O64" s="59">
        <f ca="1">IF(B64&gt;59.5,MAX(0,MIN((AA64+$Y64+$AJ64)*(IF(D64&lt;(MIN(E52:E63)+1),1,'Retirement Planning'!$J$44))-M64-$G64-$X64-(IF(D64&lt;(MIN(E52:E63)+1),D64,0)),N64)),0)</f>
        <v>0</v>
      </c>
      <c r="P64" s="57">
        <f t="shared" si="15"/>
        <v>8867.9999999999854</v>
      </c>
      <c r="Q64" s="58">
        <f t="shared" si="16"/>
        <v>641.33333333333337</v>
      </c>
      <c r="R64" s="57">
        <f ca="1">(R63-S63-T63)*(1+'Retirement Planning'!$J$23/12)</f>
        <v>224811.83367297208</v>
      </c>
      <c r="S64" s="58">
        <f t="shared" ca="1" si="17"/>
        <v>358.33333333333337</v>
      </c>
      <c r="T64" s="273">
        <f t="shared" ca="1" si="3"/>
        <v>4.5474735088646412E-13</v>
      </c>
      <c r="U64" s="57">
        <f ca="1">(U63-V63)*(1+'Retirement Planning'!$J$23/12)</f>
        <v>199413.98785255951</v>
      </c>
      <c r="V64" s="24">
        <f ca="1">IF(AND($B$10&lt;55,B64&lt;59.5),MIN(U64,MAX(0,(Y64+AA64+AJ64-G64)*'Retirement Planning'!$J$45)),IF(B64&lt;59.5,(MIN(U64,MAX(0,((Y64+AA64+AJ64)-G64-M64)*'Retirement Planning'!$J$45))),MIN(U64,MAX(0,(Y64+AA64+AJ64-G64-M64-K64-X64)*'Retirement Planning'!$J$45))))</f>
        <v>612.65208177525233</v>
      </c>
      <c r="W64" s="7">
        <f t="shared" ca="1" si="4"/>
        <v>1736014.3038043133</v>
      </c>
      <c r="X64" s="7">
        <f>(IF(B64&gt;'Retirement Planning'!$J$34,IF('Retirement Planning'!$J$34=70,'Retirement Planning'!$J$37/12,IF('Retirement Planning'!$J$34=67,'Retirement Planning'!$J$36/12,'Retirement Planning'!$J$35/12)),0))*'Retirement Planning'!$J$38</f>
        <v>0</v>
      </c>
      <c r="Y64" s="7">
        <f ca="1">'Retirement Planning'!$F$35*((1+'Retirement Planning'!$J$24)^(YEAR('Projected Retirement Drawdown'!C64)-YEAR(TODAY())))</f>
        <v>5957.3980375040628</v>
      </c>
      <c r="Z64" s="7">
        <f ca="1">G64+M64+O64+0.85*X64+V64*'Retirement Planning'!$J$46+T64</f>
        <v>6014.8555126875417</v>
      </c>
      <c r="AA64" s="7">
        <f ca="1">IF(MONTH(C64)=1,(((MIN(MAX(0,((SUM(Z52:Z63)-'Retirement Planning'!$I$53-'Retirement Planning'!$I$54)-'Retirement Planning'!$J$51)*'Retirement Planning'!$I$52))))+(MIN(MAX(0,((SUM(Z52:Z63)-'Retirement Planning'!$I$53-'Retirement Planning'!$I$54)-'Retirement Planning'!$J$50)*'Retirement Planning'!$I$51),('Retirement Planning'!$J$51-'Retirement Planning'!$J$50)*'Retirement Planning'!$I$51))+(MIN(MAX(0,((SUM(Z52:Z63)-'Retirement Planning'!$I$53-'Retirement Planning'!$I$54)-'Retirement Planning'!$J$49)*'Retirement Planning'!$I$50),('Retirement Planning'!$J$50-'Retirement Planning'!$J$49)*'Retirement Planning'!$I$50)+MIN(MAX(0,((SUM(Z52:Z63)-'Retirement Planning'!$I$53-'Retirement Planning'!$I$54)-'Retirement Planning'!$J$48)*'Retirement Planning'!$I$49),('Retirement Planning'!$J$49-'Retirement Planning'!$J$48)*'Retirement Planning'!$I$49)+MIN(((SUM(Z52:Z63)-'Retirement Planning'!$I$53-'Retirement Planning'!$I$54))*'Retirement Planning'!$I$48,('Retirement Planning'!$J$48)*'Retirement Planning'!$I$48))+(IF((SUM(Z52:Z63)-'Retirement Planning'!$I$54-'Retirement Planning'!$I$61)&gt;'Retirement Planning'!$J$59,(SUM(Z52:Z63)-'Retirement Planning'!$I$54-'Retirement Planning'!$I$61-'Retirement Planning'!$J$59)*'Retirement Planning'!$I$60+'Retirement Planning'!$K$59,IF((SUM(Z52:Z63)-'Retirement Planning'!$I$54-'Retirement Planning'!$I$61)&gt;'Retirement Planning'!$J$58,(SUM(Z52:Z63)-'Retirement Planning'!$I$54-'Retirement Planning'!$I$61-'Retirement Planning'!$J$58)*'Retirement Planning'!$I$59+'Retirement Planning'!$K$58,IF((SUM(Z52:Z63)-'Retirement Planning'!$I$54-'Retirement Planning'!$I$61)&gt;'Retirement Planning'!$J$57,(SUM(Z52:Z63)-'Retirement Planning'!$I$54-'Retirement Planning'!$I$61-'Retirement Planning'!$J$57)*'Retirement Planning'!$I$58+'Retirement Planning'!$K$57,IF((SUM(Z52:Z63)-'Retirement Planning'!$I$54-'Retirement Planning'!$I$61)&gt;'Retirement Planning'!$J$56,(SUM(Z52:Z63)-'Retirement Planning'!$I$54-'Retirement Planning'!$I$61-'Retirement Planning'!$J$56)*'Retirement Planning'!$I$57+'Retirement Planning'!$K$56,(SUM(Z52:Z63)-'Retirement Planning'!$I$54-'Retirement Planning'!$I$61)*'Retirement Planning'!$I$56))))))/12,AA63)</f>
        <v>1052.3511818924203</v>
      </c>
      <c r="AB64" s="104">
        <f t="shared" ca="1" si="21"/>
        <v>0.18178067643231507</v>
      </c>
      <c r="AC64" s="7">
        <f>IF(B64&lt;65,'Retirement Planning'!$J$28,0)</f>
        <v>583</v>
      </c>
      <c r="AD64" s="7">
        <f>IF(B64&lt;65,'Retirement Planning'!$J$29/12,0)</f>
        <v>291.66666666666669</v>
      </c>
      <c r="AE64" s="22">
        <f>'Retirement Planning'!$J$31/12</f>
        <v>58.333333333333336</v>
      </c>
      <c r="AF64" s="22">
        <f>'Retirement Planning'!$J$32/12</f>
        <v>66.666666666666671</v>
      </c>
      <c r="AG64" s="7">
        <f>IF($B64&gt;64.9,'Retirement Planning'!$J$39/12,0)</f>
        <v>0</v>
      </c>
      <c r="AH64" s="7">
        <f>IF($B64&gt;64.9,'Retirement Planning'!$J$40/12,0)</f>
        <v>0</v>
      </c>
      <c r="AI64" s="7">
        <f>IF($B64&gt;64.9,'Retirement Planning'!$J$41/12,0)</f>
        <v>0</v>
      </c>
      <c r="AJ64" s="7">
        <f t="shared" ca="1" si="6"/>
        <v>0</v>
      </c>
      <c r="AK64" s="3" t="str">
        <f t="shared" ca="1" si="7"/>
        <v>N/A</v>
      </c>
      <c r="AL64" s="6" t="str">
        <f t="shared" ca="1" si="8"/>
        <v>N/A</v>
      </c>
      <c r="AM64" s="7">
        <f t="shared" ca="1" si="9"/>
        <v>6.8212102632969618E-13</v>
      </c>
      <c r="AN64" s="7">
        <f t="shared" ca="1" si="10"/>
        <v>8009.4158860631496</v>
      </c>
      <c r="AO64" s="7">
        <f t="shared" si="11"/>
        <v>999.66666666666674</v>
      </c>
    </row>
    <row r="65" spans="1:41" x14ac:dyDescent="0.2">
      <c r="A65">
        <f t="shared" si="12"/>
        <v>50</v>
      </c>
      <c r="B65" s="5">
        <f t="shared" si="13"/>
        <v>60.9</v>
      </c>
      <c r="C65" s="56">
        <f t="shared" si="14"/>
        <v>48092</v>
      </c>
      <c r="D65" s="57">
        <f ca="1">IF(AND(B64&lt;59.5,OR(B65&gt;59.5,B65=59.5)),(D64-E64+J64-K64)*(1+'Retirement Planning'!$J$23/12),(D64-E64)*(1+'Retirement Planning'!$J$23/12))</f>
        <v>239332.23274639359</v>
      </c>
      <c r="E65" s="58">
        <f t="shared" ca="1" si="0"/>
        <v>719.20026991007853</v>
      </c>
      <c r="F65" s="57">
        <f ca="1">IF(AND(OR(B65&gt;59.5,B65=59.5),B64&lt;59.5),(F64-G64+L64-M64+N64-O64)*(1+'Retirement Planning'!$J$23/12),(F64-G64)*(1+'Retirement Planning'!$J$23/12))</f>
        <v>1066374.8597061837</v>
      </c>
      <c r="G65" s="58">
        <f ca="1">IF(AND($B$10&lt;55,B65&lt;59.5),'Retirement Planning'!$J$25,IF(OR(B65&gt;59.5,B65=59.5),MAX(0,MIN(F65,IF(D65&lt;2500,((Y65+AJ65+AA65))-X65,((Y65+AJ65+AA65)*'Retirement Planning'!$J$44)-X65))),0))</f>
        <v>5677.8968677111516</v>
      </c>
      <c r="H65" s="255">
        <f ca="1">IF(MONTH(C65)=1,IF(B65&gt;69.5,F65/(INDEX('Retirement Planning'!D$1:D$264,(160+INT(B65))))/12,0),IF(F65=0,0,H64))</f>
        <v>0</v>
      </c>
      <c r="I65" s="262">
        <f t="shared" ca="1" si="1"/>
        <v>0</v>
      </c>
      <c r="J65" s="254">
        <f ca="1">IF(AND(B64&lt;59.5,OR(B65=59.5,B65&gt;59.5)),0,(J64-K64)*(1+'Retirement Planning'!$J$23/12))</f>
        <v>0</v>
      </c>
      <c r="K65" s="58">
        <f t="shared" ca="1" si="2"/>
        <v>0</v>
      </c>
      <c r="L65" s="57">
        <f>IF(AND(OR(B65&gt;59.5,B65=59.5),B64&lt;59.5),0,(L64-M64)*(1+'Retirement Planning'!$J$23/12))</f>
        <v>0</v>
      </c>
      <c r="M65" s="59">
        <f>IF(AND($B$10&lt;55,B65&lt;59.5),0,IF(B65&lt;59.5,MAX(0,MIN((($Y65+$AJ65+AA65)*'Retirement Planning'!$J$44)-$G65-$X65,L65)),0))</f>
        <v>0</v>
      </c>
      <c r="N65" s="57">
        <f ca="1">(N64-O64)*(1+'Retirement Planning'!$J$23/12)</f>
        <v>0</v>
      </c>
      <c r="O65" s="59">
        <f ca="1">IF(B65&gt;59.5,MAX(0,MIN((AA65+$Y65+$AJ65)*(IF(D65&lt;(MIN(E53:E64)+1),1,'Retirement Planning'!$J$44))-M65-$G65-$X65-(IF(D65&lt;(MIN(E53:E64)+1),D65,0)),N65)),0)</f>
        <v>0</v>
      </c>
      <c r="P65" s="57">
        <f t="shared" si="15"/>
        <v>8226.6666666666515</v>
      </c>
      <c r="Q65" s="58">
        <f t="shared" si="16"/>
        <v>641.33333333333337</v>
      </c>
      <c r="R65" s="57">
        <f ca="1">(R64-S64-T64)*(1+'Retirement Planning'!$J$23/12)</f>
        <v>226043.37930037783</v>
      </c>
      <c r="S65" s="58">
        <f t="shared" ca="1" si="17"/>
        <v>358.33333333333337</v>
      </c>
      <c r="T65" s="273">
        <f t="shared" ca="1" si="3"/>
        <v>4.5474735088646412E-13</v>
      </c>
      <c r="U65" s="57">
        <f ca="1">(U64-V64)*(1+'Retirement Planning'!$J$23/12)</f>
        <v>200209.51189916066</v>
      </c>
      <c r="V65" s="24">
        <f ca="1">IF(AND($B$10&lt;55,B65&lt;59.5),MIN(U65,MAX(0,(Y65+AA65+AJ65-G65)*'Retirement Planning'!$J$45)),IF(B65&lt;59.5,(MIN(U65,MAX(0,((Y65+AA65+AJ65)-G65-M65)*'Retirement Planning'!$J$45))),MIN(U65,MAX(0,(Y65+AA65+AJ65-G65-M65-K65-X65)*'Retirement Planning'!$J$45))))</f>
        <v>612.65208177525233</v>
      </c>
      <c r="W65" s="7">
        <f t="shared" ca="1" si="4"/>
        <v>1740186.6503187825</v>
      </c>
      <c r="X65" s="7">
        <f>(IF(B65&gt;'Retirement Planning'!$J$34,IF('Retirement Planning'!$J$34=70,'Retirement Planning'!$J$37/12,IF('Retirement Planning'!$J$34=67,'Retirement Planning'!$J$36/12,'Retirement Planning'!$J$35/12)),0))*'Retirement Planning'!$J$38</f>
        <v>0</v>
      </c>
      <c r="Y65" s="7">
        <f ca="1">'Retirement Planning'!$F$35*((1+'Retirement Planning'!$J$24)^(YEAR('Projected Retirement Drawdown'!C65)-YEAR(TODAY())))</f>
        <v>5957.3980375040628</v>
      </c>
      <c r="Z65" s="7">
        <f ca="1">G65+M65+O65+0.85*X65+V65*'Retirement Planning'!$J$46+T65</f>
        <v>6014.8555126875417</v>
      </c>
      <c r="AA65" s="7">
        <f ca="1">IF(MONTH(C65)=1,(((MIN(MAX(0,((SUM(Z53:Z64)-'Retirement Planning'!$I$53-'Retirement Planning'!$I$54)-'Retirement Planning'!$J$51)*'Retirement Planning'!$I$52))))+(MIN(MAX(0,((SUM(Z53:Z64)-'Retirement Planning'!$I$53-'Retirement Planning'!$I$54)-'Retirement Planning'!$J$50)*'Retirement Planning'!$I$51),('Retirement Planning'!$J$51-'Retirement Planning'!$J$50)*'Retirement Planning'!$I$51))+(MIN(MAX(0,((SUM(Z53:Z64)-'Retirement Planning'!$I$53-'Retirement Planning'!$I$54)-'Retirement Planning'!$J$49)*'Retirement Planning'!$I$50),('Retirement Planning'!$J$50-'Retirement Planning'!$J$49)*'Retirement Planning'!$I$50)+MIN(MAX(0,((SUM(Z53:Z64)-'Retirement Planning'!$I$53-'Retirement Planning'!$I$54)-'Retirement Planning'!$J$48)*'Retirement Planning'!$I$49),('Retirement Planning'!$J$49-'Retirement Planning'!$J$48)*'Retirement Planning'!$I$49)+MIN(((SUM(Z53:Z64)-'Retirement Planning'!$I$53-'Retirement Planning'!$I$54))*'Retirement Planning'!$I$48,('Retirement Planning'!$J$48)*'Retirement Planning'!$I$48))+(IF((SUM(Z53:Z64)-'Retirement Planning'!$I$54-'Retirement Planning'!$I$61)&gt;'Retirement Planning'!$J$59,(SUM(Z53:Z64)-'Retirement Planning'!$I$54-'Retirement Planning'!$I$61-'Retirement Planning'!$J$59)*'Retirement Planning'!$I$60+'Retirement Planning'!$K$59,IF((SUM(Z53:Z64)-'Retirement Planning'!$I$54-'Retirement Planning'!$I$61)&gt;'Retirement Planning'!$J$58,(SUM(Z53:Z64)-'Retirement Planning'!$I$54-'Retirement Planning'!$I$61-'Retirement Planning'!$J$58)*'Retirement Planning'!$I$59+'Retirement Planning'!$K$58,IF((SUM(Z53:Z64)-'Retirement Planning'!$I$54-'Retirement Planning'!$I$61)&gt;'Retirement Planning'!$J$57,(SUM(Z53:Z64)-'Retirement Planning'!$I$54-'Retirement Planning'!$I$61-'Retirement Planning'!$J$57)*'Retirement Planning'!$I$58+'Retirement Planning'!$K$57,IF((SUM(Z53:Z64)-'Retirement Planning'!$I$54-'Retirement Planning'!$I$61)&gt;'Retirement Planning'!$J$56,(SUM(Z53:Z64)-'Retirement Planning'!$I$54-'Retirement Planning'!$I$61-'Retirement Planning'!$J$56)*'Retirement Planning'!$I$57+'Retirement Planning'!$K$56,(SUM(Z53:Z64)-'Retirement Planning'!$I$54-'Retirement Planning'!$I$61)*'Retirement Planning'!$I$56))))))/12,AA64)</f>
        <v>1052.3511818924203</v>
      </c>
      <c r="AB65" s="104">
        <f t="shared" ca="1" si="21"/>
        <v>0.18178067643231507</v>
      </c>
      <c r="AC65" s="7">
        <f>IF(B65&lt;65,'Retirement Planning'!$J$28,0)</f>
        <v>583</v>
      </c>
      <c r="AD65" s="7">
        <f>IF(B65&lt;65,'Retirement Planning'!$J$29/12,0)</f>
        <v>291.66666666666669</v>
      </c>
      <c r="AE65" s="22">
        <f>'Retirement Planning'!$J$31/12</f>
        <v>58.333333333333336</v>
      </c>
      <c r="AF65" s="22">
        <f>'Retirement Planning'!$J$32/12</f>
        <v>66.666666666666671</v>
      </c>
      <c r="AG65" s="7">
        <f>IF($B65&gt;64.9,'Retirement Planning'!$J$39/12,0)</f>
        <v>0</v>
      </c>
      <c r="AH65" s="7">
        <f>IF($B65&gt;64.9,'Retirement Planning'!$J$40/12,0)</f>
        <v>0</v>
      </c>
      <c r="AI65" s="7">
        <f>IF($B65&gt;64.9,'Retirement Planning'!$J$41/12,0)</f>
        <v>0</v>
      </c>
      <c r="AJ65" s="7">
        <f t="shared" ca="1" si="6"/>
        <v>0</v>
      </c>
      <c r="AK65" s="3" t="str">
        <f t="shared" ca="1" si="7"/>
        <v>N/A</v>
      </c>
      <c r="AL65" s="6" t="str">
        <f t="shared" ca="1" si="8"/>
        <v>N/A</v>
      </c>
      <c r="AM65" s="7">
        <f t="shared" ca="1" si="9"/>
        <v>6.8212102632969618E-13</v>
      </c>
      <c r="AN65" s="7">
        <f t="shared" ca="1" si="10"/>
        <v>8009.4158860631496</v>
      </c>
      <c r="AO65" s="7">
        <f t="shared" si="11"/>
        <v>999.66666666666674</v>
      </c>
    </row>
    <row r="66" spans="1:41" x14ac:dyDescent="0.2">
      <c r="A66">
        <f t="shared" si="12"/>
        <v>50</v>
      </c>
      <c r="B66" s="5">
        <f t="shared" si="13"/>
        <v>61</v>
      </c>
      <c r="C66" s="56">
        <f t="shared" si="14"/>
        <v>48122</v>
      </c>
      <c r="D66" s="57">
        <f ca="1">IF(AND(B65&lt;59.5,OR(B66&gt;59.5,B66=59.5)),(D65-E65+J65-K65)*(1+'Retirement Planning'!$J$23/12),(D65-E65)*(1+'Retirement Planning'!$J$23/12))</f>
        <v>240303.20812319196</v>
      </c>
      <c r="E66" s="58">
        <f t="shared" ca="1" si="0"/>
        <v>719.20026991007853</v>
      </c>
      <c r="F66" s="57">
        <f ca="1">IF(AND(OR(B66&gt;59.5,B66=59.5),B65&lt;59.5),(F65-G65+L65-M65+N65-O65)*(1+'Retirement Planning'!$J$23/12),(F65-G65)*(1+'Retirement Planning'!$J$23/12))</f>
        <v>1068210.2329919117</v>
      </c>
      <c r="G66" s="58">
        <f ca="1">IF(AND($B$10&lt;55,B66&lt;59.5),'Retirement Planning'!$J$25,IF(OR(B66&gt;59.5,B66=59.5),MAX(0,MIN(F66,IF(D66&lt;2500,((Y66+AJ66+AA66))-X66,((Y66+AJ66+AA66)*'Retirement Planning'!$J$44)-X66))),0))</f>
        <v>5677.8968677111516</v>
      </c>
      <c r="H66" s="255">
        <f ca="1">IF(MONTH(C66)=1,IF(B66&gt;69.5,F66/(INDEX('Retirement Planning'!D$1:D$264,(160+INT(B66))))/12,0),IF(F66=0,0,H65))</f>
        <v>0</v>
      </c>
      <c r="I66" s="262">
        <f t="shared" ca="1" si="1"/>
        <v>0</v>
      </c>
      <c r="J66" s="254">
        <f ca="1">IF(AND(B65&lt;59.5,OR(B66=59.5,B66&gt;59.5)),0,(J65-K65)*(1+'Retirement Planning'!$J$23/12))</f>
        <v>0</v>
      </c>
      <c r="K66" s="58">
        <f t="shared" ca="1" si="2"/>
        <v>0</v>
      </c>
      <c r="L66" s="57">
        <f>IF(AND(OR(B66&gt;59.5,B66=59.5),B65&lt;59.5),0,(L65-M65)*(1+'Retirement Planning'!$J$23/12))</f>
        <v>0</v>
      </c>
      <c r="M66" s="59">
        <f>IF(AND($B$10&lt;55,B66&lt;59.5),0,IF(B66&lt;59.5,MAX(0,MIN((($Y66+$AJ66+AA66)*'Retirement Planning'!$J$44)-$G66-$X66,L66)),0))</f>
        <v>0</v>
      </c>
      <c r="N66" s="57">
        <f ca="1">(N65-O65)*(1+'Retirement Planning'!$J$23/12)</f>
        <v>0</v>
      </c>
      <c r="O66" s="59">
        <f ca="1">IF(B66&gt;59.5,MAX(0,MIN((AA66+$Y66+$AJ66)*(IF(D66&lt;(MIN(E54:E65)+1),1,'Retirement Planning'!$J$44))-M66-$G66-$X66-(IF(D66&lt;(MIN(E54:E65)+1),D66,0)),N66)),0)</f>
        <v>0</v>
      </c>
      <c r="P66" s="57">
        <f t="shared" si="15"/>
        <v>7585.3333333333185</v>
      </c>
      <c r="Q66" s="58">
        <f t="shared" si="16"/>
        <v>641.33333333333337</v>
      </c>
      <c r="R66" s="57">
        <f ca="1">(R65-S65-T65)*(1+'Retirement Planning'!$J$23/12)</f>
        <v>227283.6483759777</v>
      </c>
      <c r="S66" s="58">
        <f t="shared" ca="1" si="17"/>
        <v>358.33333333333337</v>
      </c>
      <c r="T66" s="273">
        <f t="shared" ca="1" si="3"/>
        <v>4.5474735088646412E-13</v>
      </c>
      <c r="U66" s="57">
        <f ca="1">(U65-V65)*(1+'Retirement Planning'!$J$23/12)</f>
        <v>201010.67090775855</v>
      </c>
      <c r="V66" s="24">
        <f ca="1">IF(AND($B$10&lt;55,B66&lt;59.5),MIN(U66,MAX(0,(Y66+AA66+AJ66-G66)*'Retirement Planning'!$J$45)),IF(B66&lt;59.5,(MIN(U66,MAX(0,((Y66+AA66+AJ66)-G66-M66)*'Retirement Planning'!$J$45))),MIN(U66,MAX(0,(Y66+AA66+AJ66-G66-M66-K66-X66)*'Retirement Planning'!$J$45))))</f>
        <v>612.65208177525233</v>
      </c>
      <c r="W66" s="7">
        <f t="shared" ca="1" si="4"/>
        <v>1744393.0937321733</v>
      </c>
      <c r="X66" s="7">
        <f>(IF(B66&gt;'Retirement Planning'!$J$34,IF('Retirement Planning'!$J$34=70,'Retirement Planning'!$J$37/12,IF('Retirement Planning'!$J$34=67,'Retirement Planning'!$J$36/12,'Retirement Planning'!$J$35/12)),0))*'Retirement Planning'!$J$38</f>
        <v>0</v>
      </c>
      <c r="Y66" s="7">
        <f ca="1">'Retirement Planning'!$F$35*((1+'Retirement Planning'!$J$24)^(YEAR('Projected Retirement Drawdown'!C66)-YEAR(TODAY())))</f>
        <v>5957.3980375040628</v>
      </c>
      <c r="Z66" s="7">
        <f ca="1">G66+M66+O66+0.85*X66+V66*'Retirement Planning'!$J$46+T66</f>
        <v>6014.8555126875417</v>
      </c>
      <c r="AA66" s="7">
        <f ca="1">IF(MONTH(C66)=1,(((MIN(MAX(0,((SUM(Z54:Z65)-'Retirement Planning'!$I$53-'Retirement Planning'!$I$54)-'Retirement Planning'!$J$51)*'Retirement Planning'!$I$52))))+(MIN(MAX(0,((SUM(Z54:Z65)-'Retirement Planning'!$I$53-'Retirement Planning'!$I$54)-'Retirement Planning'!$J$50)*'Retirement Planning'!$I$51),('Retirement Planning'!$J$51-'Retirement Planning'!$J$50)*'Retirement Planning'!$I$51))+(MIN(MAX(0,((SUM(Z54:Z65)-'Retirement Planning'!$I$53-'Retirement Planning'!$I$54)-'Retirement Planning'!$J$49)*'Retirement Planning'!$I$50),('Retirement Planning'!$J$50-'Retirement Planning'!$J$49)*'Retirement Planning'!$I$50)+MIN(MAX(0,((SUM(Z54:Z65)-'Retirement Planning'!$I$53-'Retirement Planning'!$I$54)-'Retirement Planning'!$J$48)*'Retirement Planning'!$I$49),('Retirement Planning'!$J$49-'Retirement Planning'!$J$48)*'Retirement Planning'!$I$49)+MIN(((SUM(Z54:Z65)-'Retirement Planning'!$I$53-'Retirement Planning'!$I$54))*'Retirement Planning'!$I$48,('Retirement Planning'!$J$48)*'Retirement Planning'!$I$48))+(IF((SUM(Z54:Z65)-'Retirement Planning'!$I$54-'Retirement Planning'!$I$61)&gt;'Retirement Planning'!$J$59,(SUM(Z54:Z65)-'Retirement Planning'!$I$54-'Retirement Planning'!$I$61-'Retirement Planning'!$J$59)*'Retirement Planning'!$I$60+'Retirement Planning'!$K$59,IF((SUM(Z54:Z65)-'Retirement Planning'!$I$54-'Retirement Planning'!$I$61)&gt;'Retirement Planning'!$J$58,(SUM(Z54:Z65)-'Retirement Planning'!$I$54-'Retirement Planning'!$I$61-'Retirement Planning'!$J$58)*'Retirement Planning'!$I$59+'Retirement Planning'!$K$58,IF((SUM(Z54:Z65)-'Retirement Planning'!$I$54-'Retirement Planning'!$I$61)&gt;'Retirement Planning'!$J$57,(SUM(Z54:Z65)-'Retirement Planning'!$I$54-'Retirement Planning'!$I$61-'Retirement Planning'!$J$57)*'Retirement Planning'!$I$58+'Retirement Planning'!$K$57,IF((SUM(Z54:Z65)-'Retirement Planning'!$I$54-'Retirement Planning'!$I$61)&gt;'Retirement Planning'!$J$56,(SUM(Z54:Z65)-'Retirement Planning'!$I$54-'Retirement Planning'!$I$61-'Retirement Planning'!$J$56)*'Retirement Planning'!$I$57+'Retirement Planning'!$K$56,(SUM(Z54:Z65)-'Retirement Planning'!$I$54-'Retirement Planning'!$I$61)*'Retirement Planning'!$I$56))))))/12,AA65)</f>
        <v>1052.3511818924203</v>
      </c>
      <c r="AB66" s="104">
        <f t="shared" ca="1" si="21"/>
        <v>0.18178067643231507</v>
      </c>
      <c r="AC66" s="7">
        <f>IF(B66&lt;65,'Retirement Planning'!$J$28,0)</f>
        <v>583</v>
      </c>
      <c r="AD66" s="7">
        <f>IF(B66&lt;65,'Retirement Planning'!$J$29/12,0)</f>
        <v>291.66666666666669</v>
      </c>
      <c r="AE66" s="22">
        <f>'Retirement Planning'!$J$31/12</f>
        <v>58.333333333333336</v>
      </c>
      <c r="AF66" s="22">
        <f>'Retirement Planning'!$J$32/12</f>
        <v>66.666666666666671</v>
      </c>
      <c r="AG66" s="7">
        <f>IF($B66&gt;64.9,'Retirement Planning'!$J$39/12,0)</f>
        <v>0</v>
      </c>
      <c r="AH66" s="7">
        <f>IF($B66&gt;64.9,'Retirement Planning'!$J$40/12,0)</f>
        <v>0</v>
      </c>
      <c r="AI66" s="7">
        <f>IF($B66&gt;64.9,'Retirement Planning'!$J$41/12,0)</f>
        <v>0</v>
      </c>
      <c r="AJ66" s="7">
        <f t="shared" ca="1" si="6"/>
        <v>0</v>
      </c>
      <c r="AK66" s="3" t="str">
        <f t="shared" ca="1" si="7"/>
        <v>N/A</v>
      </c>
      <c r="AL66" s="6" t="str">
        <f t="shared" ca="1" si="8"/>
        <v>N/A</v>
      </c>
      <c r="AM66" s="7">
        <f t="shared" ca="1" si="9"/>
        <v>6.8212102632969618E-13</v>
      </c>
      <c r="AN66" s="7">
        <f t="shared" ca="1" si="10"/>
        <v>8009.4158860631496</v>
      </c>
      <c r="AO66" s="7">
        <f t="shared" si="11"/>
        <v>999.66666666666674</v>
      </c>
    </row>
    <row r="67" spans="1:41" x14ac:dyDescent="0.2">
      <c r="A67">
        <f t="shared" si="12"/>
        <v>50</v>
      </c>
      <c r="B67" s="5">
        <f t="shared" si="13"/>
        <v>61</v>
      </c>
      <c r="C67" s="56">
        <f t="shared" si="14"/>
        <v>48153</v>
      </c>
      <c r="D67" s="57">
        <f ca="1">IF(AND(B66&lt;59.5,OR(B67&gt;59.5,B67=59.5)),(D66-E66+J66-K66)*(1+'Retirement Planning'!$J$23/12),(D66-E66)*(1+'Retirement Planning'!$J$23/12))</f>
        <v>241281.06124224263</v>
      </c>
      <c r="E67" s="58">
        <f t="shared" ca="1" si="0"/>
        <v>719.20026991007853</v>
      </c>
      <c r="F67" s="57">
        <f ca="1">IF(AND(OR(B67&gt;59.5,B67=59.5),B66&lt;59.5),(F66-G66+L66-M66+N66-O66)*(1+'Retirement Planning'!$J$23/12),(F66-G66)*(1+'Retirement Planning'!$J$23/12))</f>
        <v>1070058.6068384137</v>
      </c>
      <c r="G67" s="58">
        <f ca="1">IF(AND($B$10&lt;55,B67&lt;59.5),'Retirement Planning'!$J$25,IF(OR(B67&gt;59.5,B67=59.5),MAX(0,MIN(F67,IF(D67&lt;2500,((Y67+AJ67+AA67))-X67,((Y67+AJ67+AA67)*'Retirement Planning'!$J$44)-X67))),0))</f>
        <v>5677.8968677111516</v>
      </c>
      <c r="H67" s="255">
        <f ca="1">IF(MONTH(C67)=1,IF(B67&gt;69.5,F67/(INDEX('Retirement Planning'!D$1:D$264,(160+INT(B67))))/12,0),IF(F67=0,0,H66))</f>
        <v>0</v>
      </c>
      <c r="I67" s="262">
        <f t="shared" ca="1" si="1"/>
        <v>0</v>
      </c>
      <c r="J67" s="254">
        <f ca="1">IF(AND(B66&lt;59.5,OR(B67=59.5,B67&gt;59.5)),0,(J66-K66)*(1+'Retirement Planning'!$J$23/12))</f>
        <v>0</v>
      </c>
      <c r="K67" s="58">
        <f t="shared" ca="1" si="2"/>
        <v>0</v>
      </c>
      <c r="L67" s="57">
        <f>IF(AND(OR(B67&gt;59.5,B67=59.5),B66&lt;59.5),0,(L66-M66)*(1+'Retirement Planning'!$J$23/12))</f>
        <v>0</v>
      </c>
      <c r="M67" s="59">
        <f>IF(AND($B$10&lt;55,B67&lt;59.5),0,IF(B67&lt;59.5,MAX(0,MIN((($Y67+$AJ67+AA67)*'Retirement Planning'!$J$44)-$G67-$X67,L67)),0))</f>
        <v>0</v>
      </c>
      <c r="N67" s="57">
        <f ca="1">(N66-O66)*(1+'Retirement Planning'!$J$23/12)</f>
        <v>0</v>
      </c>
      <c r="O67" s="59">
        <f ca="1">IF(B67&gt;59.5,MAX(0,MIN((AA67+$Y67+$AJ67)*(IF(D67&lt;(MIN(E55:E66)+1),1,'Retirement Planning'!$J$44))-M67-$G67-$X67-(IF(D67&lt;(MIN(E55:E66)+1),D67,0)),N67)),0)</f>
        <v>0</v>
      </c>
      <c r="P67" s="57">
        <f t="shared" si="15"/>
        <v>6943.9999999999854</v>
      </c>
      <c r="Q67" s="58">
        <f t="shared" si="16"/>
        <v>641.33333333333337</v>
      </c>
      <c r="R67" s="57">
        <f ca="1">(R66-S66-T66)*(1+'Retirement Planning'!$J$23/12)</f>
        <v>228532.70269086308</v>
      </c>
      <c r="S67" s="58">
        <f t="shared" ca="1" si="17"/>
        <v>358.33333333333337</v>
      </c>
      <c r="T67" s="273">
        <f t="shared" ca="1" si="3"/>
        <v>4.5474735088646412E-13</v>
      </c>
      <c r="U67" s="57">
        <f ca="1">(U66-V66)*(1+'Retirement Planning'!$J$23/12)</f>
        <v>201817.50479266734</v>
      </c>
      <c r="V67" s="24">
        <f ca="1">IF(AND($B$10&lt;55,B67&lt;59.5),MIN(U67,MAX(0,(Y67+AA67+AJ67-G67)*'Retirement Planning'!$J$45)),IF(B67&lt;59.5,(MIN(U67,MAX(0,((Y67+AA67+AJ67)-G67-M67)*'Retirement Planning'!$J$45))),MIN(U67,MAX(0,(Y67+AA67+AJ67-G67-M67-K67-X67)*'Retirement Planning'!$J$45))))</f>
        <v>612.65208177525233</v>
      </c>
      <c r="W67" s="7">
        <f t="shared" ca="1" si="4"/>
        <v>1748633.8755641868</v>
      </c>
      <c r="X67" s="7">
        <f>(IF(B67&gt;'Retirement Planning'!$J$34,IF('Retirement Planning'!$J$34=70,'Retirement Planning'!$J$37/12,IF('Retirement Planning'!$J$34=67,'Retirement Planning'!$J$36/12,'Retirement Planning'!$J$35/12)),0))*'Retirement Planning'!$J$38</f>
        <v>0</v>
      </c>
      <c r="Y67" s="7">
        <f ca="1">'Retirement Planning'!$F$35*((1+'Retirement Planning'!$J$24)^(YEAR('Projected Retirement Drawdown'!C67)-YEAR(TODAY())))</f>
        <v>5957.3980375040628</v>
      </c>
      <c r="Z67" s="7">
        <f ca="1">G67+M67+O67+0.85*X67+V67*'Retirement Planning'!$J$46+T67</f>
        <v>6014.8555126875417</v>
      </c>
      <c r="AA67" s="7">
        <f ca="1">IF(MONTH(C67)=1,(((MIN(MAX(0,((SUM(Z55:Z66)-'Retirement Planning'!$I$53-'Retirement Planning'!$I$54)-'Retirement Planning'!$J$51)*'Retirement Planning'!$I$52))))+(MIN(MAX(0,((SUM(Z55:Z66)-'Retirement Planning'!$I$53-'Retirement Planning'!$I$54)-'Retirement Planning'!$J$50)*'Retirement Planning'!$I$51),('Retirement Planning'!$J$51-'Retirement Planning'!$J$50)*'Retirement Planning'!$I$51))+(MIN(MAX(0,((SUM(Z55:Z66)-'Retirement Planning'!$I$53-'Retirement Planning'!$I$54)-'Retirement Planning'!$J$49)*'Retirement Planning'!$I$50),('Retirement Planning'!$J$50-'Retirement Planning'!$J$49)*'Retirement Planning'!$I$50)+MIN(MAX(0,((SUM(Z55:Z66)-'Retirement Planning'!$I$53-'Retirement Planning'!$I$54)-'Retirement Planning'!$J$48)*'Retirement Planning'!$I$49),('Retirement Planning'!$J$49-'Retirement Planning'!$J$48)*'Retirement Planning'!$I$49)+MIN(((SUM(Z55:Z66)-'Retirement Planning'!$I$53-'Retirement Planning'!$I$54))*'Retirement Planning'!$I$48,('Retirement Planning'!$J$48)*'Retirement Planning'!$I$48))+(IF((SUM(Z55:Z66)-'Retirement Planning'!$I$54-'Retirement Planning'!$I$61)&gt;'Retirement Planning'!$J$59,(SUM(Z55:Z66)-'Retirement Planning'!$I$54-'Retirement Planning'!$I$61-'Retirement Planning'!$J$59)*'Retirement Planning'!$I$60+'Retirement Planning'!$K$59,IF((SUM(Z55:Z66)-'Retirement Planning'!$I$54-'Retirement Planning'!$I$61)&gt;'Retirement Planning'!$J$58,(SUM(Z55:Z66)-'Retirement Planning'!$I$54-'Retirement Planning'!$I$61-'Retirement Planning'!$J$58)*'Retirement Planning'!$I$59+'Retirement Planning'!$K$58,IF((SUM(Z55:Z66)-'Retirement Planning'!$I$54-'Retirement Planning'!$I$61)&gt;'Retirement Planning'!$J$57,(SUM(Z55:Z66)-'Retirement Planning'!$I$54-'Retirement Planning'!$I$61-'Retirement Planning'!$J$57)*'Retirement Planning'!$I$58+'Retirement Planning'!$K$57,IF((SUM(Z55:Z66)-'Retirement Planning'!$I$54-'Retirement Planning'!$I$61)&gt;'Retirement Planning'!$J$56,(SUM(Z55:Z66)-'Retirement Planning'!$I$54-'Retirement Planning'!$I$61-'Retirement Planning'!$J$56)*'Retirement Planning'!$I$57+'Retirement Planning'!$K$56,(SUM(Z55:Z66)-'Retirement Planning'!$I$54-'Retirement Planning'!$I$61)*'Retirement Planning'!$I$56))))))/12,AA66)</f>
        <v>1052.3511818924203</v>
      </c>
      <c r="AB67" s="104">
        <f t="shared" ca="1" si="21"/>
        <v>0.18178067643231507</v>
      </c>
      <c r="AC67" s="7">
        <f>IF(B67&lt;65,'Retirement Planning'!$J$28,0)</f>
        <v>583</v>
      </c>
      <c r="AD67" s="7">
        <f>IF(B67&lt;65,'Retirement Planning'!$J$29/12,0)</f>
        <v>291.66666666666669</v>
      </c>
      <c r="AE67" s="22">
        <f>'Retirement Planning'!$J$31/12</f>
        <v>58.333333333333336</v>
      </c>
      <c r="AF67" s="22">
        <f>'Retirement Planning'!$J$32/12</f>
        <v>66.666666666666671</v>
      </c>
      <c r="AG67" s="7">
        <f>IF($B67&gt;64.9,'Retirement Planning'!$J$39/12,0)</f>
        <v>0</v>
      </c>
      <c r="AH67" s="7">
        <f>IF($B67&gt;64.9,'Retirement Planning'!$J$40/12,0)</f>
        <v>0</v>
      </c>
      <c r="AI67" s="7">
        <f>IF($B67&gt;64.9,'Retirement Planning'!$J$41/12,0)</f>
        <v>0</v>
      </c>
      <c r="AJ67" s="7">
        <f t="shared" ca="1" si="6"/>
        <v>0</v>
      </c>
      <c r="AK67" s="3" t="str">
        <f t="shared" ca="1" si="7"/>
        <v>N/A</v>
      </c>
      <c r="AL67" s="6" t="str">
        <f t="shared" ca="1" si="8"/>
        <v>N/A</v>
      </c>
      <c r="AM67" s="7">
        <f t="shared" ca="1" si="9"/>
        <v>6.8212102632969618E-13</v>
      </c>
      <c r="AN67" s="7">
        <f t="shared" ca="1" si="10"/>
        <v>8009.4158860631496</v>
      </c>
      <c r="AO67" s="7">
        <f t="shared" si="11"/>
        <v>999.66666666666674</v>
      </c>
    </row>
    <row r="68" spans="1:41" x14ac:dyDescent="0.2">
      <c r="A68">
        <f t="shared" si="12"/>
        <v>50</v>
      </c>
      <c r="B68" s="5">
        <f t="shared" si="13"/>
        <v>61.1</v>
      </c>
      <c r="C68" s="56">
        <f t="shared" si="14"/>
        <v>48183</v>
      </c>
      <c r="D68" s="57">
        <f ca="1">IF(AND(B67&lt;59.5,OR(B68&gt;59.5,B68=59.5)),(D67-E67+J67-K67)*(1+'Retirement Planning'!$J$23/12),(D67-E67)*(1+'Retirement Planning'!$J$23/12))</f>
        <v>242265.84082088657</v>
      </c>
      <c r="E68" s="58">
        <f t="shared" ca="1" si="0"/>
        <v>719.20026991007853</v>
      </c>
      <c r="F68" s="57">
        <f ca="1">IF(AND(OR(B68&gt;59.5,B68=59.5),B67&lt;59.5),(F67-G67+L67-M67+N67-O67)*(1+'Retirement Planning'!$J$23/12),(F67-G67)*(1+'Retirement Planning'!$J$23/12))</f>
        <v>1071920.0733329952</v>
      </c>
      <c r="G68" s="58">
        <f ca="1">IF(AND($B$10&lt;55,B68&lt;59.5),'Retirement Planning'!$J$25,IF(OR(B68&gt;59.5,B68=59.5),MAX(0,MIN(F68,IF(D68&lt;2500,((Y68+AJ68+AA68))-X68,((Y68+AJ68+AA68)*'Retirement Planning'!$J$44)-X68))),0))</f>
        <v>5677.8968677111516</v>
      </c>
      <c r="H68" s="255">
        <f ca="1">IF(MONTH(C68)=1,IF(B68&gt;69.5,F68/(INDEX('Retirement Planning'!D$1:D$264,(160+INT(B68))))/12,0),IF(F68=0,0,H67))</f>
        <v>0</v>
      </c>
      <c r="I68" s="262">
        <f t="shared" ca="1" si="1"/>
        <v>0</v>
      </c>
      <c r="J68" s="254">
        <f ca="1">IF(AND(B67&lt;59.5,OR(B68=59.5,B68&gt;59.5)),0,(J67-K67)*(1+'Retirement Planning'!$J$23/12))</f>
        <v>0</v>
      </c>
      <c r="K68" s="58">
        <f t="shared" ca="1" si="2"/>
        <v>0</v>
      </c>
      <c r="L68" s="57">
        <f>IF(AND(OR(B68&gt;59.5,B68=59.5),B67&lt;59.5),0,(L67-M67)*(1+'Retirement Planning'!$J$23/12))</f>
        <v>0</v>
      </c>
      <c r="M68" s="59">
        <f>IF(AND($B$10&lt;55,B68&lt;59.5),0,IF(B68&lt;59.5,MAX(0,MIN((($Y68+$AJ68+AA68)*'Retirement Planning'!$J$44)-$G68-$X68,L68)),0))</f>
        <v>0</v>
      </c>
      <c r="N68" s="57">
        <f ca="1">(N67-O67)*(1+'Retirement Planning'!$J$23/12)</f>
        <v>0</v>
      </c>
      <c r="O68" s="59">
        <f ca="1">IF(B68&gt;59.5,MAX(0,MIN((AA68+$Y68+$AJ68)*(IF(D68&lt;(MIN(E56:E67)+1),1,'Retirement Planning'!$J$44))-M68-$G68-$X68-(IF(D68&lt;(MIN(E56:E67)+1),D68,0)),N68)),0)</f>
        <v>0</v>
      </c>
      <c r="P68" s="57">
        <f t="shared" si="15"/>
        <v>6302.6666666666524</v>
      </c>
      <c r="Q68" s="58">
        <f t="shared" si="16"/>
        <v>641.33333333333337</v>
      </c>
      <c r="R68" s="57">
        <f ca="1">(R67-S67-T67)*(1+'Retirement Planning'!$J$23/12)</f>
        <v>229790.60447381224</v>
      </c>
      <c r="S68" s="58">
        <f t="shared" ca="1" si="17"/>
        <v>358.33333333333337</v>
      </c>
      <c r="T68" s="273">
        <f t="shared" ca="1" si="3"/>
        <v>4.5474735088646412E-13</v>
      </c>
      <c r="U68" s="57">
        <f ca="1">(U67-V67)*(1+'Retirement Planning'!$J$23/12)</f>
        <v>202630.05375092759</v>
      </c>
      <c r="V68" s="24">
        <f ca="1">IF(AND($B$10&lt;55,B68&lt;59.5),MIN(U68,MAX(0,(Y68+AA68+AJ68-G68)*'Retirement Planning'!$J$45)),IF(B68&lt;59.5,(MIN(U68,MAX(0,((Y68+AA68+AJ68)-G68-M68)*'Retirement Planning'!$J$45))),MIN(U68,MAX(0,(Y68+AA68+AJ68-G68-M68-K68-X68)*'Retirement Planning'!$J$45))))</f>
        <v>612.65208177525233</v>
      </c>
      <c r="W68" s="7">
        <f t="shared" ca="1" si="4"/>
        <v>1752909.2390452884</v>
      </c>
      <c r="X68" s="7">
        <f>(IF(B68&gt;'Retirement Planning'!$J$34,IF('Retirement Planning'!$J$34=70,'Retirement Planning'!$J$37/12,IF('Retirement Planning'!$J$34=67,'Retirement Planning'!$J$36/12,'Retirement Planning'!$J$35/12)),0))*'Retirement Planning'!$J$38</f>
        <v>0</v>
      </c>
      <c r="Y68" s="7">
        <f ca="1">'Retirement Planning'!$F$35*((1+'Retirement Planning'!$J$24)^(YEAR('Projected Retirement Drawdown'!C68)-YEAR(TODAY())))</f>
        <v>5957.3980375040628</v>
      </c>
      <c r="Z68" s="7">
        <f ca="1">G68+M68+O68+0.85*X68+V68*'Retirement Planning'!$J$46+T68</f>
        <v>6014.8555126875417</v>
      </c>
      <c r="AA68" s="7">
        <f ca="1">IF(MONTH(C68)=1,(((MIN(MAX(0,((SUM(Z56:Z67)-'Retirement Planning'!$I$53-'Retirement Planning'!$I$54)-'Retirement Planning'!$J$51)*'Retirement Planning'!$I$52))))+(MIN(MAX(0,((SUM(Z56:Z67)-'Retirement Planning'!$I$53-'Retirement Planning'!$I$54)-'Retirement Planning'!$J$50)*'Retirement Planning'!$I$51),('Retirement Planning'!$J$51-'Retirement Planning'!$J$50)*'Retirement Planning'!$I$51))+(MIN(MAX(0,((SUM(Z56:Z67)-'Retirement Planning'!$I$53-'Retirement Planning'!$I$54)-'Retirement Planning'!$J$49)*'Retirement Planning'!$I$50),('Retirement Planning'!$J$50-'Retirement Planning'!$J$49)*'Retirement Planning'!$I$50)+MIN(MAX(0,((SUM(Z56:Z67)-'Retirement Planning'!$I$53-'Retirement Planning'!$I$54)-'Retirement Planning'!$J$48)*'Retirement Planning'!$I$49),('Retirement Planning'!$J$49-'Retirement Planning'!$J$48)*'Retirement Planning'!$I$49)+MIN(((SUM(Z56:Z67)-'Retirement Planning'!$I$53-'Retirement Planning'!$I$54))*'Retirement Planning'!$I$48,('Retirement Planning'!$J$48)*'Retirement Planning'!$I$48))+(IF((SUM(Z56:Z67)-'Retirement Planning'!$I$54-'Retirement Planning'!$I$61)&gt;'Retirement Planning'!$J$59,(SUM(Z56:Z67)-'Retirement Planning'!$I$54-'Retirement Planning'!$I$61-'Retirement Planning'!$J$59)*'Retirement Planning'!$I$60+'Retirement Planning'!$K$59,IF((SUM(Z56:Z67)-'Retirement Planning'!$I$54-'Retirement Planning'!$I$61)&gt;'Retirement Planning'!$J$58,(SUM(Z56:Z67)-'Retirement Planning'!$I$54-'Retirement Planning'!$I$61-'Retirement Planning'!$J$58)*'Retirement Planning'!$I$59+'Retirement Planning'!$K$58,IF((SUM(Z56:Z67)-'Retirement Planning'!$I$54-'Retirement Planning'!$I$61)&gt;'Retirement Planning'!$J$57,(SUM(Z56:Z67)-'Retirement Planning'!$I$54-'Retirement Planning'!$I$61-'Retirement Planning'!$J$57)*'Retirement Planning'!$I$58+'Retirement Planning'!$K$57,IF((SUM(Z56:Z67)-'Retirement Planning'!$I$54-'Retirement Planning'!$I$61)&gt;'Retirement Planning'!$J$56,(SUM(Z56:Z67)-'Retirement Planning'!$I$54-'Retirement Planning'!$I$61-'Retirement Planning'!$J$56)*'Retirement Planning'!$I$57+'Retirement Planning'!$K$56,(SUM(Z56:Z67)-'Retirement Planning'!$I$54-'Retirement Planning'!$I$61)*'Retirement Planning'!$I$56))))))/12,AA67)</f>
        <v>1052.3511818924203</v>
      </c>
      <c r="AB68" s="104">
        <f t="shared" ca="1" si="21"/>
        <v>0.18178067643231507</v>
      </c>
      <c r="AC68" s="7">
        <f>IF(B68&lt;65,'Retirement Planning'!$J$28,0)</f>
        <v>583</v>
      </c>
      <c r="AD68" s="7">
        <f>IF(B68&lt;65,'Retirement Planning'!$J$29/12,0)</f>
        <v>291.66666666666669</v>
      </c>
      <c r="AE68" s="22">
        <f>'Retirement Planning'!$J$31/12</f>
        <v>58.333333333333336</v>
      </c>
      <c r="AF68" s="22">
        <f>'Retirement Planning'!$J$32/12</f>
        <v>66.666666666666671</v>
      </c>
      <c r="AG68" s="7">
        <f>IF($B68&gt;64.9,'Retirement Planning'!$J$39/12,0)</f>
        <v>0</v>
      </c>
      <c r="AH68" s="7">
        <f>IF($B68&gt;64.9,'Retirement Planning'!$J$40/12,0)</f>
        <v>0</v>
      </c>
      <c r="AI68" s="7">
        <f>IF($B68&gt;64.9,'Retirement Planning'!$J$41/12,0)</f>
        <v>0</v>
      </c>
      <c r="AJ68" s="7">
        <f t="shared" ca="1" si="6"/>
        <v>0</v>
      </c>
      <c r="AK68" s="3" t="str">
        <f t="shared" ca="1" si="7"/>
        <v>N/A</v>
      </c>
      <c r="AL68" s="6" t="str">
        <f t="shared" ca="1" si="8"/>
        <v>N/A</v>
      </c>
      <c r="AM68" s="7">
        <f t="shared" ca="1" si="9"/>
        <v>6.8212102632969618E-13</v>
      </c>
      <c r="AN68" s="7">
        <f t="shared" ca="1" si="10"/>
        <v>8009.4158860631496</v>
      </c>
      <c r="AO68" s="7">
        <f t="shared" si="11"/>
        <v>999.66666666666674</v>
      </c>
    </row>
    <row r="69" spans="1:41" x14ac:dyDescent="0.2">
      <c r="A69">
        <f t="shared" si="12"/>
        <v>50</v>
      </c>
      <c r="B69" s="5">
        <f t="shared" si="13"/>
        <v>61.2</v>
      </c>
      <c r="C69" s="56">
        <f t="shared" si="14"/>
        <v>48214</v>
      </c>
      <c r="D69" s="57">
        <f ca="1">IF(AND(B68&lt;59.5,OR(B69&gt;59.5,B69=59.5)),(D68-E68+J68-K68)*(1+'Retirement Planning'!$J$23/12),(D68-E68)*(1+'Retirement Planning'!$J$23/12))</f>
        <v>243257.59592154593</v>
      </c>
      <c r="E69" s="58">
        <f t="shared" ca="1" si="0"/>
        <v>747.36523544654301</v>
      </c>
      <c r="F69" s="57">
        <f ca="1">IF(AND(OR(B69&gt;59.5,B69=59.5),B68&lt;59.5),(F68-G68+L68-M68+N68-O68)*(1+'Retirement Planning'!$J$23/12),(F68-G68)*(1+'Retirement Planning'!$J$23/12))</f>
        <v>1073794.7252152464</v>
      </c>
      <c r="G69" s="58">
        <f ca="1">IF(AND($B$10&lt;55,B69&lt;59.5),'Retirement Planning'!$J$25,IF(OR(B69&gt;59.5,B69=59.5),MAX(0,MIN(F69,IF(D69&lt;2500,((Y69+AJ69+AA69))-X69,((Y69+AJ69+AA69)*'Retirement Planning'!$J$44)-X69))),0))</f>
        <v>5900.2518587885006</v>
      </c>
      <c r="H69" s="255">
        <f>IF(MONTH(C69)=1,IF(B69&gt;69.5,F69/(INDEX('Retirement Planning'!D$1:D$264,(160+INT(B69))))/12,0),IF(F69=0,0,H68))</f>
        <v>0</v>
      </c>
      <c r="I69" s="262">
        <f t="shared" ca="1" si="1"/>
        <v>0</v>
      </c>
      <c r="J69" s="254">
        <f ca="1">IF(AND(B68&lt;59.5,OR(B69=59.5,B69&gt;59.5)),0,(J68-K68)*(1+'Retirement Planning'!$J$23/12))</f>
        <v>0</v>
      </c>
      <c r="K69" s="58">
        <f t="shared" ca="1" si="2"/>
        <v>0</v>
      </c>
      <c r="L69" s="57">
        <f>IF(AND(OR(B69&gt;59.5,B69=59.5),B68&lt;59.5),0,(L68-M68)*(1+'Retirement Planning'!$J$23/12))</f>
        <v>0</v>
      </c>
      <c r="M69" s="59">
        <f>IF(AND($B$10&lt;55,B69&lt;59.5),0,IF(B69&lt;59.5,MAX(0,MIN((($Y69+$AJ69+AA69)*'Retirement Planning'!$J$44)-$G69-$X69,L69)),0))</f>
        <v>0</v>
      </c>
      <c r="N69" s="57">
        <f ca="1">(N68-O68)*(1+'Retirement Planning'!$J$23/12)</f>
        <v>0</v>
      </c>
      <c r="O69" s="59">
        <f ca="1">IF(B69&gt;59.5,MAX(0,MIN((AA69+$Y69+$AJ69)*(IF(D69&lt;(MIN(E57:E68)+1),1,'Retirement Planning'!$J$44))-M69-$G69-$X69-(IF(D69&lt;(MIN(E57:E68)+1),D69,0)),N69)),0)</f>
        <v>0</v>
      </c>
      <c r="P69" s="57">
        <f t="shared" si="15"/>
        <v>5661.3333333333194</v>
      </c>
      <c r="Q69" s="58">
        <f t="shared" si="16"/>
        <v>641.33333333333337</v>
      </c>
      <c r="R69" s="57">
        <f ca="1">(R68-S68-T68)*(1+'Retirement Planning'!$J$23/12)</f>
        <v>231057.41639439063</v>
      </c>
      <c r="S69" s="58">
        <f t="shared" ca="1" si="17"/>
        <v>358.33333333333337</v>
      </c>
      <c r="T69" s="273">
        <f t="shared" ca="1" si="3"/>
        <v>-9.0949470177292824E-13</v>
      </c>
      <c r="U69" s="57">
        <f ca="1">(U68-V68)*(1+'Retirement Planning'!$J$23/12)</f>
        <v>203448.35826430883</v>
      </c>
      <c r="V69" s="24">
        <f ca="1">IF(AND($B$10&lt;55,B69&lt;59.5),MIN(U69,MAX(0,(Y69+AA69+AJ69-G69)*'Retirement Planning'!$J$45)),IF(B69&lt;59.5,(MIN(U69,MAX(0,((Y69+AA69+AJ69)-G69-M69)*'Retirement Planning'!$J$45))),MIN(U69,MAX(0,(Y69+AA69+AJ69-G69-M69-K69-X69)*'Retirement Planning'!$J$45))))</f>
        <v>636.64445982483289</v>
      </c>
      <c r="W69" s="7">
        <f t="shared" ca="1" si="4"/>
        <v>1757219.4291288252</v>
      </c>
      <c r="X69" s="7">
        <f>(IF(B69&gt;'Retirement Planning'!$J$34,IF('Retirement Planning'!$J$34=70,'Retirement Planning'!$J$37/12,IF('Retirement Planning'!$J$34=67,'Retirement Planning'!$J$36/12,'Retirement Planning'!$J$35/12)),0))*'Retirement Planning'!$J$38</f>
        <v>0</v>
      </c>
      <c r="Y69" s="7">
        <f ca="1">'Retirement Planning'!$F$35*((1+'Retirement Planning'!$J$24)^(YEAR('Projected Retirement Drawdown'!C69)-YEAR(TODAY())))</f>
        <v>6165.9069688167056</v>
      </c>
      <c r="Z69" s="7">
        <f ca="1">G69+M69+O69+0.85*X69+V69*'Retirement Planning'!$J$46+T69</f>
        <v>6250.4063116921579</v>
      </c>
      <c r="AA69" s="7">
        <f ca="1">IF(MONTH(C69)=1,(((MIN(MAX(0,((SUM(Z57:Z68)-'Retirement Planning'!$I$53-'Retirement Planning'!$I$54)-'Retirement Planning'!$J$51)*'Retirement Planning'!$I$52))))+(MIN(MAX(0,((SUM(Z57:Z68)-'Retirement Planning'!$I$53-'Retirement Planning'!$I$54)-'Retirement Planning'!$J$50)*'Retirement Planning'!$I$51),('Retirement Planning'!$J$51-'Retirement Planning'!$J$50)*'Retirement Planning'!$I$51))+(MIN(MAX(0,((SUM(Z57:Z68)-'Retirement Planning'!$I$53-'Retirement Planning'!$I$54)-'Retirement Planning'!$J$49)*'Retirement Planning'!$I$50),('Retirement Planning'!$J$50-'Retirement Planning'!$J$49)*'Retirement Planning'!$I$50)+MIN(MAX(0,((SUM(Z57:Z68)-'Retirement Planning'!$I$53-'Retirement Planning'!$I$54)-'Retirement Planning'!$J$48)*'Retirement Planning'!$I$49),('Retirement Planning'!$J$49-'Retirement Planning'!$J$48)*'Retirement Planning'!$I$49)+MIN(((SUM(Z57:Z68)-'Retirement Planning'!$I$53-'Retirement Planning'!$I$54))*'Retirement Planning'!$I$48,('Retirement Planning'!$J$48)*'Retirement Planning'!$I$48))+(IF((SUM(Z57:Z68)-'Retirement Planning'!$I$54-'Retirement Planning'!$I$61)&gt;'Retirement Planning'!$J$59,(SUM(Z57:Z68)-'Retirement Planning'!$I$54-'Retirement Planning'!$I$61-'Retirement Planning'!$J$59)*'Retirement Planning'!$I$60+'Retirement Planning'!$K$59,IF((SUM(Z57:Z68)-'Retirement Planning'!$I$54-'Retirement Planning'!$I$61)&gt;'Retirement Planning'!$J$58,(SUM(Z57:Z68)-'Retirement Planning'!$I$54-'Retirement Planning'!$I$61-'Retirement Planning'!$J$58)*'Retirement Planning'!$I$59+'Retirement Planning'!$K$58,IF((SUM(Z57:Z68)-'Retirement Planning'!$I$54-'Retirement Planning'!$I$61)&gt;'Retirement Planning'!$J$57,(SUM(Z57:Z68)-'Retirement Planning'!$I$54-'Retirement Planning'!$I$61-'Retirement Planning'!$J$57)*'Retirement Planning'!$I$58+'Retirement Planning'!$K$57,IF((SUM(Z57:Z68)-'Retirement Planning'!$I$54-'Retirement Planning'!$I$61)&gt;'Retirement Planning'!$J$56,(SUM(Z57:Z68)-'Retirement Planning'!$I$54-'Retirement Planning'!$I$61-'Retirement Planning'!$J$56)*'Retirement Planning'!$I$57+'Retirement Planning'!$K$56,(SUM(Z57:Z68)-'Retirement Planning'!$I$54-'Retirement Planning'!$I$61)*'Retirement Planning'!$I$56))))))/12,AA68)</f>
        <v>1118.3545852431707</v>
      </c>
      <c r="AB69" s="104">
        <f t="shared" ref="AB69" ca="1" si="24">SUM(AA69:AA80)/SUM(Z57:Z68)</f>
        <v>0.18593207814953319</v>
      </c>
      <c r="AC69" s="7">
        <f>IF(B69&lt;65,'Retirement Planning'!$J$28,0)</f>
        <v>583</v>
      </c>
      <c r="AD69" s="7">
        <f>IF(B69&lt;65,'Retirement Planning'!$J$29/12,0)</f>
        <v>291.66666666666669</v>
      </c>
      <c r="AE69" s="22">
        <f>'Retirement Planning'!$J$31/12</f>
        <v>58.333333333333336</v>
      </c>
      <c r="AF69" s="22">
        <f>'Retirement Planning'!$J$32/12</f>
        <v>66.666666666666671</v>
      </c>
      <c r="AG69" s="7">
        <f>IF($B69&gt;64.9,'Retirement Planning'!$J$39/12,0)</f>
        <v>0</v>
      </c>
      <c r="AH69" s="7">
        <f>IF($B69&gt;64.9,'Retirement Planning'!$J$40/12,0)</f>
        <v>0</v>
      </c>
      <c r="AI69" s="7">
        <f>IF($B69&gt;64.9,'Retirement Planning'!$J$41/12,0)</f>
        <v>0</v>
      </c>
      <c r="AJ69" s="7">
        <f t="shared" ca="1" si="6"/>
        <v>0</v>
      </c>
      <c r="AK69" s="3" t="str">
        <f t="shared" ca="1" si="7"/>
        <v>N/A</v>
      </c>
      <c r="AL69" s="6" t="str">
        <f t="shared" ca="1" si="8"/>
        <v>N/A</v>
      </c>
      <c r="AM69" s="7">
        <f t="shared" ca="1" si="9"/>
        <v>6.8212102632969618E-13</v>
      </c>
      <c r="AN69" s="7">
        <f t="shared" ca="1" si="10"/>
        <v>8283.9282207265423</v>
      </c>
      <c r="AO69" s="7">
        <f t="shared" si="11"/>
        <v>999.66666666666674</v>
      </c>
    </row>
    <row r="70" spans="1:41" x14ac:dyDescent="0.2">
      <c r="A70">
        <f t="shared" si="12"/>
        <v>50</v>
      </c>
      <c r="B70" s="5">
        <f t="shared" si="13"/>
        <v>61.3</v>
      </c>
      <c r="C70" s="56">
        <f t="shared" si="14"/>
        <v>48245</v>
      </c>
      <c r="D70" s="57">
        <f ca="1">IF(AND(B69&lt;59.5,OR(B70&gt;59.5,B70=59.5)),(D69-E69+J69-K69)*(1+'Retirement Planning'!$J$23/12),(D69-E69)*(1+'Retirement Planning'!$J$23/12))</f>
        <v>244228.01148679259</v>
      </c>
      <c r="E70" s="58">
        <f t="shared" ca="1" si="0"/>
        <v>747.36523544654301</v>
      </c>
      <c r="F70" s="57">
        <f ca="1">IF(AND(OR(B70&gt;59.5,B70=59.5),B69&lt;59.5),(F69-G69+L69-M69+N69-O69)*(1+'Retirement Planning'!$J$23/12),(F69-G69)*(1+'Retirement Planning'!$J$23/12))</f>
        <v>1075458.7258760661</v>
      </c>
      <c r="G70" s="58">
        <f ca="1">IF(AND($B$10&lt;55,B70&lt;59.5),'Retirement Planning'!$J$25,IF(OR(B70&gt;59.5,B70=59.5),MAX(0,MIN(F70,IF(D70&lt;2500,((Y70+AJ70+AA70))-X70,((Y70+AJ70+AA70)*'Retirement Planning'!$J$44)-X70))),0))</f>
        <v>5900.2518587885006</v>
      </c>
      <c r="H70" s="255">
        <f ca="1">IF(MONTH(C70)=1,IF(B70&gt;69.5,F70/(INDEX('Retirement Planning'!D$1:D$264,(160+INT(B70))))/12,0),IF(F70=0,0,H69))</f>
        <v>0</v>
      </c>
      <c r="I70" s="262">
        <f t="shared" ca="1" si="1"/>
        <v>0</v>
      </c>
      <c r="J70" s="254">
        <f ca="1">IF(AND(B69&lt;59.5,OR(B70=59.5,B70&gt;59.5)),0,(J69-K69)*(1+'Retirement Planning'!$J$23/12))</f>
        <v>0</v>
      </c>
      <c r="K70" s="58">
        <f t="shared" ca="1" si="2"/>
        <v>0</v>
      </c>
      <c r="L70" s="57">
        <f>IF(AND(OR(B70&gt;59.5,B70=59.5),B69&lt;59.5),0,(L69-M69)*(1+'Retirement Planning'!$J$23/12))</f>
        <v>0</v>
      </c>
      <c r="M70" s="59">
        <f>IF(AND($B$10&lt;55,B70&lt;59.5),0,IF(B70&lt;59.5,MAX(0,MIN((($Y70+$AJ70+AA70)*'Retirement Planning'!$J$44)-$G70-$X70,L70)),0))</f>
        <v>0</v>
      </c>
      <c r="N70" s="57">
        <f ca="1">(N69-O69)*(1+'Retirement Planning'!$J$23/12)</f>
        <v>0</v>
      </c>
      <c r="O70" s="59">
        <f ca="1">IF(B70&gt;59.5,MAX(0,MIN((AA70+$Y70+$AJ70)*(IF(D70&lt;(MIN(E58:E69)+1),1,'Retirement Planning'!$J$44))-M70-$G70-$X70-(IF(D70&lt;(MIN(E58:E69)+1),D70,0)),N70)),0)</f>
        <v>0</v>
      </c>
      <c r="P70" s="57">
        <f t="shared" si="15"/>
        <v>5019.9999999999864</v>
      </c>
      <c r="Q70" s="58">
        <f t="shared" si="16"/>
        <v>641.33333333333337</v>
      </c>
      <c r="R70" s="57">
        <f ca="1">(R69-S69-T69)*(1+'Retirement Planning'!$J$23/12)</f>
        <v>232333.20156607311</v>
      </c>
      <c r="S70" s="58">
        <f t="shared" ca="1" si="17"/>
        <v>358.33333333333337</v>
      </c>
      <c r="T70" s="273">
        <f t="shared" ca="1" si="3"/>
        <v>-9.0949470177292824E-13</v>
      </c>
      <c r="U70" s="57">
        <f ca="1">(U69-V69)*(1+'Retirement Planning'!$J$23/12)</f>
        <v>204248.29677726576</v>
      </c>
      <c r="V70" s="24">
        <f ca="1">IF(AND($B$10&lt;55,B70&lt;59.5),MIN(U70,MAX(0,(Y70+AA70+AJ70-G70)*'Retirement Planning'!$J$45)),IF(B70&lt;59.5,(MIN(U70,MAX(0,((Y70+AA70+AJ70)-G70-M70)*'Retirement Planning'!$J$45))),MIN(U70,MAX(0,(Y70+AA70+AJ70-G70-M70-K70-X70)*'Retirement Planning'!$J$45))))</f>
        <v>636.64445982483289</v>
      </c>
      <c r="W70" s="7">
        <f t="shared" ca="1" si="4"/>
        <v>1761288.2357061978</v>
      </c>
      <c r="X70" s="7">
        <f>(IF(B70&gt;'Retirement Planning'!$J$34,IF('Retirement Planning'!$J$34=70,'Retirement Planning'!$J$37/12,IF('Retirement Planning'!$J$34=67,'Retirement Planning'!$J$36/12,'Retirement Planning'!$J$35/12)),0))*'Retirement Planning'!$J$38</f>
        <v>0</v>
      </c>
      <c r="Y70" s="7">
        <f ca="1">'Retirement Planning'!$F$35*((1+'Retirement Planning'!$J$24)^(YEAR('Projected Retirement Drawdown'!C70)-YEAR(TODAY())))</f>
        <v>6165.9069688167056</v>
      </c>
      <c r="Z70" s="7">
        <f ca="1">G70+M70+O70+0.85*X70+V70*'Retirement Planning'!$J$46+T70</f>
        <v>6250.4063116921579</v>
      </c>
      <c r="AA70" s="7">
        <f ca="1">IF(MONTH(C70)=1,(((MIN(MAX(0,((SUM(Z58:Z69)-'Retirement Planning'!$I$53-'Retirement Planning'!$I$54)-'Retirement Planning'!$J$51)*'Retirement Planning'!$I$52))))+(MIN(MAX(0,((SUM(Z58:Z69)-'Retirement Planning'!$I$53-'Retirement Planning'!$I$54)-'Retirement Planning'!$J$50)*'Retirement Planning'!$I$51),('Retirement Planning'!$J$51-'Retirement Planning'!$J$50)*'Retirement Planning'!$I$51))+(MIN(MAX(0,((SUM(Z58:Z69)-'Retirement Planning'!$I$53-'Retirement Planning'!$I$54)-'Retirement Planning'!$J$49)*'Retirement Planning'!$I$50),('Retirement Planning'!$J$50-'Retirement Planning'!$J$49)*'Retirement Planning'!$I$50)+MIN(MAX(0,((SUM(Z58:Z69)-'Retirement Planning'!$I$53-'Retirement Planning'!$I$54)-'Retirement Planning'!$J$48)*'Retirement Planning'!$I$49),('Retirement Planning'!$J$49-'Retirement Planning'!$J$48)*'Retirement Planning'!$I$49)+MIN(((SUM(Z58:Z69)-'Retirement Planning'!$I$53-'Retirement Planning'!$I$54))*'Retirement Planning'!$I$48,('Retirement Planning'!$J$48)*'Retirement Planning'!$I$48))+(IF((SUM(Z58:Z69)-'Retirement Planning'!$I$54-'Retirement Planning'!$I$61)&gt;'Retirement Planning'!$J$59,(SUM(Z58:Z69)-'Retirement Planning'!$I$54-'Retirement Planning'!$I$61-'Retirement Planning'!$J$59)*'Retirement Planning'!$I$60+'Retirement Planning'!$K$59,IF((SUM(Z58:Z69)-'Retirement Planning'!$I$54-'Retirement Planning'!$I$61)&gt;'Retirement Planning'!$J$58,(SUM(Z58:Z69)-'Retirement Planning'!$I$54-'Retirement Planning'!$I$61-'Retirement Planning'!$J$58)*'Retirement Planning'!$I$59+'Retirement Planning'!$K$58,IF((SUM(Z58:Z69)-'Retirement Planning'!$I$54-'Retirement Planning'!$I$61)&gt;'Retirement Planning'!$J$57,(SUM(Z58:Z69)-'Retirement Planning'!$I$54-'Retirement Planning'!$I$61-'Retirement Planning'!$J$57)*'Retirement Planning'!$I$58+'Retirement Planning'!$K$57,IF((SUM(Z58:Z69)-'Retirement Planning'!$I$54-'Retirement Planning'!$I$61)&gt;'Retirement Planning'!$J$56,(SUM(Z58:Z69)-'Retirement Planning'!$I$54-'Retirement Planning'!$I$61-'Retirement Planning'!$J$56)*'Retirement Planning'!$I$57+'Retirement Planning'!$K$56,(SUM(Z58:Z69)-'Retirement Planning'!$I$54-'Retirement Planning'!$I$61)*'Retirement Planning'!$I$56))))))/12,AA69)</f>
        <v>1118.3545852431707</v>
      </c>
      <c r="AB70" s="104">
        <f t="shared" ref="AB70:AB133" ca="1" si="25">AB69</f>
        <v>0.18593207814953319</v>
      </c>
      <c r="AC70" s="7">
        <f>IF(B70&lt;65,'Retirement Planning'!$J$28,0)</f>
        <v>583</v>
      </c>
      <c r="AD70" s="7">
        <f>IF(B70&lt;65,'Retirement Planning'!$J$29/12,0)</f>
        <v>291.66666666666669</v>
      </c>
      <c r="AE70" s="22">
        <f>'Retirement Planning'!$J$31/12</f>
        <v>58.333333333333336</v>
      </c>
      <c r="AF70" s="22">
        <f>'Retirement Planning'!$J$32/12</f>
        <v>66.666666666666671</v>
      </c>
      <c r="AG70" s="7">
        <f>IF($B70&gt;64.9,'Retirement Planning'!$J$39/12,0)</f>
        <v>0</v>
      </c>
      <c r="AH70" s="7">
        <f>IF($B70&gt;64.9,'Retirement Planning'!$J$40/12,0)</f>
        <v>0</v>
      </c>
      <c r="AI70" s="7">
        <f>IF($B70&gt;64.9,'Retirement Planning'!$J$41/12,0)</f>
        <v>0</v>
      </c>
      <c r="AJ70" s="7">
        <f t="shared" ca="1" si="6"/>
        <v>0</v>
      </c>
      <c r="AK70" s="3" t="str">
        <f t="shared" ca="1" si="7"/>
        <v>N/A</v>
      </c>
      <c r="AL70" s="6" t="str">
        <f t="shared" ca="1" si="8"/>
        <v>N/A</v>
      </c>
      <c r="AM70" s="7">
        <f t="shared" ca="1" si="9"/>
        <v>6.8212102632969618E-13</v>
      </c>
      <c r="AN70" s="7">
        <f t="shared" ca="1" si="10"/>
        <v>8283.9282207265423</v>
      </c>
      <c r="AO70" s="7">
        <f t="shared" si="11"/>
        <v>999.66666666666674</v>
      </c>
    </row>
    <row r="71" spans="1:41" x14ac:dyDescent="0.2">
      <c r="A71">
        <f t="shared" si="12"/>
        <v>50</v>
      </c>
      <c r="B71" s="5">
        <f t="shared" si="13"/>
        <v>61.4</v>
      </c>
      <c r="C71" s="56">
        <f t="shared" si="14"/>
        <v>48274</v>
      </c>
      <c r="D71" s="57">
        <f ca="1">IF(AND(B70&lt;59.5,OR(B71&gt;59.5,B71=59.5)),(D70-E70+J70-K70)*(1+'Retirement Planning'!$J$23/12),(D70-E70)*(1+'Retirement Planning'!$J$23/12))</f>
        <v>245205.30082895973</v>
      </c>
      <c r="E71" s="58">
        <f t="shared" ca="1" si="0"/>
        <v>747.36523544654301</v>
      </c>
      <c r="F71" s="57">
        <f ca="1">IF(AND(OR(B71&gt;59.5,B71=59.5),B70&lt;59.5),(F70-G70+L70-M70+N70-O70)*(1+'Retirement Planning'!$J$23/12),(F70-G70)*(1+'Retirement Planning'!$J$23/12))</f>
        <v>1077134.5132082333</v>
      </c>
      <c r="G71" s="58">
        <f ca="1">IF(AND($B$10&lt;55,B71&lt;59.5),'Retirement Planning'!$J$25,IF(OR(B71&gt;59.5,B71=59.5),MAX(0,MIN(F71,IF(D71&lt;2500,((Y71+AJ71+AA71))-X71,((Y71+AJ71+AA71)*'Retirement Planning'!$J$44)-X71))),0))</f>
        <v>5900.2518587885006</v>
      </c>
      <c r="H71" s="255">
        <f ca="1">IF(MONTH(C71)=1,IF(B71&gt;69.5,F71/(INDEX('Retirement Planning'!D$1:D$264,(160+INT(B71))))/12,0),IF(F71=0,0,H70))</f>
        <v>0</v>
      </c>
      <c r="I71" s="262">
        <f t="shared" ca="1" si="1"/>
        <v>0</v>
      </c>
      <c r="J71" s="254">
        <f ca="1">IF(AND(B70&lt;59.5,OR(B71=59.5,B71&gt;59.5)),0,(J70-K70)*(1+'Retirement Planning'!$J$23/12))</f>
        <v>0</v>
      </c>
      <c r="K71" s="58">
        <f t="shared" ca="1" si="2"/>
        <v>0</v>
      </c>
      <c r="L71" s="57">
        <f>IF(AND(OR(B71&gt;59.5,B71=59.5),B70&lt;59.5),0,(L70-M70)*(1+'Retirement Planning'!$J$23/12))</f>
        <v>0</v>
      </c>
      <c r="M71" s="59">
        <f>IF(AND($B$10&lt;55,B71&lt;59.5),0,IF(B71&lt;59.5,MAX(0,MIN((($Y71+$AJ71+AA71)*'Retirement Planning'!$J$44)-$G71-$X71,L71)),0))</f>
        <v>0</v>
      </c>
      <c r="N71" s="57">
        <f ca="1">(N70-O70)*(1+'Retirement Planning'!$J$23/12)</f>
        <v>0</v>
      </c>
      <c r="O71" s="59">
        <f ca="1">IF(B71&gt;59.5,MAX(0,MIN((AA71+$Y71+$AJ71)*(IF(D71&lt;(MIN(E59:E70)+1),1,'Retirement Planning'!$J$44))-M71-$G71-$X71-(IF(D71&lt;(MIN(E59:E70)+1),D71,0)),N71)),0)</f>
        <v>0</v>
      </c>
      <c r="P71" s="57">
        <f t="shared" si="15"/>
        <v>4378.6666666666533</v>
      </c>
      <c r="Q71" s="58">
        <f t="shared" si="16"/>
        <v>641.33333333333337</v>
      </c>
      <c r="R71" s="57">
        <f ca="1">(R70-S70-T70)*(1+'Retirement Planning'!$J$23/12)</f>
        <v>233618.02354938834</v>
      </c>
      <c r="S71" s="58">
        <f t="shared" ca="1" si="17"/>
        <v>358.33333333333337</v>
      </c>
      <c r="T71" s="273">
        <f t="shared" ca="1" si="3"/>
        <v>-9.0949470177292824E-13</v>
      </c>
      <c r="U71" s="57">
        <f ca="1">(U70-V70)*(1+'Retirement Planning'!$J$23/12)</f>
        <v>205053.90152135614</v>
      </c>
      <c r="V71" s="24">
        <f ca="1">IF(AND($B$10&lt;55,B71&lt;59.5),MIN(U71,MAX(0,(Y71+AA71+AJ71-G71)*'Retirement Planning'!$J$45)),IF(B71&lt;59.5,(MIN(U71,MAX(0,((Y71+AA71+AJ71)-G71-M71)*'Retirement Planning'!$J$45))),MIN(U71,MAX(0,(Y71+AA71+AJ71-G71-M71-K71-X71)*'Retirement Planning'!$J$45))))</f>
        <v>636.64445982483289</v>
      </c>
      <c r="W71" s="7">
        <f t="shared" ca="1" si="4"/>
        <v>1765390.4057746043</v>
      </c>
      <c r="X71" s="7">
        <f>(IF(B71&gt;'Retirement Planning'!$J$34,IF('Retirement Planning'!$J$34=70,'Retirement Planning'!$J$37/12,IF('Retirement Planning'!$J$34=67,'Retirement Planning'!$J$36/12,'Retirement Planning'!$J$35/12)),0))*'Retirement Planning'!$J$38</f>
        <v>0</v>
      </c>
      <c r="Y71" s="7">
        <f ca="1">'Retirement Planning'!$F$35*((1+'Retirement Planning'!$J$24)^(YEAR('Projected Retirement Drawdown'!C71)-YEAR(TODAY())))</f>
        <v>6165.9069688167056</v>
      </c>
      <c r="Z71" s="7">
        <f ca="1">G71+M71+O71+0.85*X71+V71*'Retirement Planning'!$J$46+T71</f>
        <v>6250.4063116921579</v>
      </c>
      <c r="AA71" s="7">
        <f ca="1">IF(MONTH(C71)=1,(((MIN(MAX(0,((SUM(Z59:Z70)-'Retirement Planning'!$I$53-'Retirement Planning'!$I$54)-'Retirement Planning'!$J$51)*'Retirement Planning'!$I$52))))+(MIN(MAX(0,((SUM(Z59:Z70)-'Retirement Planning'!$I$53-'Retirement Planning'!$I$54)-'Retirement Planning'!$J$50)*'Retirement Planning'!$I$51),('Retirement Planning'!$J$51-'Retirement Planning'!$J$50)*'Retirement Planning'!$I$51))+(MIN(MAX(0,((SUM(Z59:Z70)-'Retirement Planning'!$I$53-'Retirement Planning'!$I$54)-'Retirement Planning'!$J$49)*'Retirement Planning'!$I$50),('Retirement Planning'!$J$50-'Retirement Planning'!$J$49)*'Retirement Planning'!$I$50)+MIN(MAX(0,((SUM(Z59:Z70)-'Retirement Planning'!$I$53-'Retirement Planning'!$I$54)-'Retirement Planning'!$J$48)*'Retirement Planning'!$I$49),('Retirement Planning'!$J$49-'Retirement Planning'!$J$48)*'Retirement Planning'!$I$49)+MIN(((SUM(Z59:Z70)-'Retirement Planning'!$I$53-'Retirement Planning'!$I$54))*'Retirement Planning'!$I$48,('Retirement Planning'!$J$48)*'Retirement Planning'!$I$48))+(IF((SUM(Z59:Z70)-'Retirement Planning'!$I$54-'Retirement Planning'!$I$61)&gt;'Retirement Planning'!$J$59,(SUM(Z59:Z70)-'Retirement Planning'!$I$54-'Retirement Planning'!$I$61-'Retirement Planning'!$J$59)*'Retirement Planning'!$I$60+'Retirement Planning'!$K$59,IF((SUM(Z59:Z70)-'Retirement Planning'!$I$54-'Retirement Planning'!$I$61)&gt;'Retirement Planning'!$J$58,(SUM(Z59:Z70)-'Retirement Planning'!$I$54-'Retirement Planning'!$I$61-'Retirement Planning'!$J$58)*'Retirement Planning'!$I$59+'Retirement Planning'!$K$58,IF((SUM(Z59:Z70)-'Retirement Planning'!$I$54-'Retirement Planning'!$I$61)&gt;'Retirement Planning'!$J$57,(SUM(Z59:Z70)-'Retirement Planning'!$I$54-'Retirement Planning'!$I$61-'Retirement Planning'!$J$57)*'Retirement Planning'!$I$58+'Retirement Planning'!$K$57,IF((SUM(Z59:Z70)-'Retirement Planning'!$I$54-'Retirement Planning'!$I$61)&gt;'Retirement Planning'!$J$56,(SUM(Z59:Z70)-'Retirement Planning'!$I$54-'Retirement Planning'!$I$61-'Retirement Planning'!$J$56)*'Retirement Planning'!$I$57+'Retirement Planning'!$K$56,(SUM(Z59:Z70)-'Retirement Planning'!$I$54-'Retirement Planning'!$I$61)*'Retirement Planning'!$I$56))))))/12,AA70)</f>
        <v>1118.3545852431707</v>
      </c>
      <c r="AB71" s="104">
        <f t="shared" ca="1" si="21"/>
        <v>0.18593207814953319</v>
      </c>
      <c r="AC71" s="7">
        <f>IF(B71&lt;65,'Retirement Planning'!$J$28,0)</f>
        <v>583</v>
      </c>
      <c r="AD71" s="7">
        <f>IF(B71&lt;65,'Retirement Planning'!$J$29/12,0)</f>
        <v>291.66666666666669</v>
      </c>
      <c r="AE71" s="22">
        <f>'Retirement Planning'!$J$31/12</f>
        <v>58.333333333333336</v>
      </c>
      <c r="AF71" s="22">
        <f>'Retirement Planning'!$J$32/12</f>
        <v>66.666666666666671</v>
      </c>
      <c r="AG71" s="7">
        <f>IF($B71&gt;64.9,'Retirement Planning'!$J$39/12,0)</f>
        <v>0</v>
      </c>
      <c r="AH71" s="7">
        <f>IF($B71&gt;64.9,'Retirement Planning'!$J$40/12,0)</f>
        <v>0</v>
      </c>
      <c r="AI71" s="7">
        <f>IF($B71&gt;64.9,'Retirement Planning'!$J$41/12,0)</f>
        <v>0</v>
      </c>
      <c r="AJ71" s="7">
        <f t="shared" ca="1" si="6"/>
        <v>0</v>
      </c>
      <c r="AK71" s="3" t="str">
        <f t="shared" ca="1" si="7"/>
        <v>N/A</v>
      </c>
      <c r="AL71" s="6" t="str">
        <f t="shared" ca="1" si="8"/>
        <v>N/A</v>
      </c>
      <c r="AM71" s="7">
        <f t="shared" ca="1" si="9"/>
        <v>6.8212102632969618E-13</v>
      </c>
      <c r="AN71" s="7">
        <f t="shared" ca="1" si="10"/>
        <v>8283.9282207265423</v>
      </c>
      <c r="AO71" s="7">
        <f t="shared" si="11"/>
        <v>999.66666666666674</v>
      </c>
    </row>
    <row r="72" spans="1:41" x14ac:dyDescent="0.2">
      <c r="A72">
        <f t="shared" si="12"/>
        <v>50</v>
      </c>
      <c r="B72" s="5">
        <f t="shared" si="13"/>
        <v>61.5</v>
      </c>
      <c r="C72" s="56">
        <f t="shared" si="14"/>
        <v>48305</v>
      </c>
      <c r="D72" s="57">
        <f ca="1">IF(AND(B71&lt;59.5,OR(B72&gt;59.5,B72=59.5)),(D71-E71+J71-K71)*(1+'Retirement Planning'!$J$23/12),(D71-E71)*(1+'Retirement Planning'!$J$23/12))</f>
        <v>246189.51263730056</v>
      </c>
      <c r="E72" s="58">
        <f t="shared" ca="1" si="0"/>
        <v>747.36523544654301</v>
      </c>
      <c r="F72" s="57">
        <f ca="1">IF(AND(OR(B72&gt;59.5,B72=59.5),B71&lt;59.5),(F71-G71+L71-M71+N71-O71)*(1+'Retirement Planning'!$J$23/12),(F71-G71)*(1+'Retirement Planning'!$J$23/12))</f>
        <v>1078822.17070067</v>
      </c>
      <c r="G72" s="58">
        <f ca="1">IF(AND($B$10&lt;55,B72&lt;59.5),'Retirement Planning'!$J$25,IF(OR(B72&gt;59.5,B72=59.5),MAX(0,MIN(F72,IF(D72&lt;2500,((Y72+AJ72+AA72))-X72,((Y72+AJ72+AA72)*'Retirement Planning'!$J$44)-X72))),0))</f>
        <v>5900.2518587885006</v>
      </c>
      <c r="H72" s="255">
        <f ca="1">IF(MONTH(C72)=1,IF(B72&gt;69.5,F72/(INDEX('Retirement Planning'!D$1:D$264,(160+INT(B72))))/12,0),IF(F72=0,0,H71))</f>
        <v>0</v>
      </c>
      <c r="I72" s="262">
        <f t="shared" ca="1" si="1"/>
        <v>0</v>
      </c>
      <c r="J72" s="254">
        <f ca="1">IF(AND(B71&lt;59.5,OR(B72=59.5,B72&gt;59.5)),0,(J71-K71)*(1+'Retirement Planning'!$J$23/12))</f>
        <v>0</v>
      </c>
      <c r="K72" s="58">
        <f t="shared" ca="1" si="2"/>
        <v>0</v>
      </c>
      <c r="L72" s="57">
        <f>IF(AND(OR(B72&gt;59.5,B72=59.5),B71&lt;59.5),0,(L71-M71)*(1+'Retirement Planning'!$J$23/12))</f>
        <v>0</v>
      </c>
      <c r="M72" s="59">
        <f>IF(AND($B$10&lt;55,B72&lt;59.5),0,IF(B72&lt;59.5,MAX(0,MIN((($Y72+$AJ72+AA72)*'Retirement Planning'!$J$44)-$G72-$X72,L72)),0))</f>
        <v>0</v>
      </c>
      <c r="N72" s="57">
        <f ca="1">(N71-O71)*(1+'Retirement Planning'!$J$23/12)</f>
        <v>0</v>
      </c>
      <c r="O72" s="59">
        <f ca="1">IF(B72&gt;59.5,MAX(0,MIN((AA72+$Y72+$AJ72)*(IF(D72&lt;(MIN(E60:E71)+1),1,'Retirement Planning'!$J$44))-M72-$G72-$X72-(IF(D72&lt;(MIN(E60:E71)+1),D72,0)),N72)),0)</f>
        <v>0</v>
      </c>
      <c r="P72" s="57">
        <f t="shared" si="15"/>
        <v>3737.3333333333198</v>
      </c>
      <c r="Q72" s="58">
        <f t="shared" si="16"/>
        <v>641.33333333333337</v>
      </c>
      <c r="R72" s="57">
        <f ca="1">(R71-S71-T71)*(1+'Retirement Planning'!$J$23/12)</f>
        <v>234911.94635508538</v>
      </c>
      <c r="S72" s="58">
        <f t="shared" ca="1" si="17"/>
        <v>358.33333333333337</v>
      </c>
      <c r="T72" s="273">
        <f t="shared" ca="1" si="3"/>
        <v>-9.0949470177292824E-13</v>
      </c>
      <c r="U72" s="57">
        <f ca="1">(U71-V71)*(1+'Retirement Planning'!$J$23/12)</f>
        <v>205865.2126323838</v>
      </c>
      <c r="V72" s="24">
        <f ca="1">IF(AND($B$10&lt;55,B72&lt;59.5),MIN(U72,MAX(0,(Y72+AA72+AJ72-G72)*'Retirement Planning'!$J$45)),IF(B72&lt;59.5,(MIN(U72,MAX(0,((Y72+AA72+AJ72)-G72-M72)*'Retirement Planning'!$J$45))),MIN(U72,MAX(0,(Y72+AA72+AJ72-G72-M72-K72-X72)*'Retirement Planning'!$J$45))))</f>
        <v>636.64445982483289</v>
      </c>
      <c r="W72" s="7">
        <f t="shared" ca="1" si="4"/>
        <v>1769526.1756587732</v>
      </c>
      <c r="X72" s="7">
        <f>(IF(B72&gt;'Retirement Planning'!$J$34,IF('Retirement Planning'!$J$34=70,'Retirement Planning'!$J$37/12,IF('Retirement Planning'!$J$34=67,'Retirement Planning'!$J$36/12,'Retirement Planning'!$J$35/12)),0))*'Retirement Planning'!$J$38</f>
        <v>0</v>
      </c>
      <c r="Y72" s="7">
        <f ca="1">'Retirement Planning'!$F$35*((1+'Retirement Planning'!$J$24)^(YEAR('Projected Retirement Drawdown'!C72)-YEAR(TODAY())))</f>
        <v>6165.9069688167056</v>
      </c>
      <c r="Z72" s="7">
        <f ca="1">G72+M72+O72+0.85*X72+V72*'Retirement Planning'!$J$46+T72</f>
        <v>6250.4063116921579</v>
      </c>
      <c r="AA72" s="7">
        <f ca="1">IF(MONTH(C72)=1,(((MIN(MAX(0,((SUM(Z60:Z71)-'Retirement Planning'!$I$53-'Retirement Planning'!$I$54)-'Retirement Planning'!$J$51)*'Retirement Planning'!$I$52))))+(MIN(MAX(0,((SUM(Z60:Z71)-'Retirement Planning'!$I$53-'Retirement Planning'!$I$54)-'Retirement Planning'!$J$50)*'Retirement Planning'!$I$51),('Retirement Planning'!$J$51-'Retirement Planning'!$J$50)*'Retirement Planning'!$I$51))+(MIN(MAX(0,((SUM(Z60:Z71)-'Retirement Planning'!$I$53-'Retirement Planning'!$I$54)-'Retirement Planning'!$J$49)*'Retirement Planning'!$I$50),('Retirement Planning'!$J$50-'Retirement Planning'!$J$49)*'Retirement Planning'!$I$50)+MIN(MAX(0,((SUM(Z60:Z71)-'Retirement Planning'!$I$53-'Retirement Planning'!$I$54)-'Retirement Planning'!$J$48)*'Retirement Planning'!$I$49),('Retirement Planning'!$J$49-'Retirement Planning'!$J$48)*'Retirement Planning'!$I$49)+MIN(((SUM(Z60:Z71)-'Retirement Planning'!$I$53-'Retirement Planning'!$I$54))*'Retirement Planning'!$I$48,('Retirement Planning'!$J$48)*'Retirement Planning'!$I$48))+(IF((SUM(Z60:Z71)-'Retirement Planning'!$I$54-'Retirement Planning'!$I$61)&gt;'Retirement Planning'!$J$59,(SUM(Z60:Z71)-'Retirement Planning'!$I$54-'Retirement Planning'!$I$61-'Retirement Planning'!$J$59)*'Retirement Planning'!$I$60+'Retirement Planning'!$K$59,IF((SUM(Z60:Z71)-'Retirement Planning'!$I$54-'Retirement Planning'!$I$61)&gt;'Retirement Planning'!$J$58,(SUM(Z60:Z71)-'Retirement Planning'!$I$54-'Retirement Planning'!$I$61-'Retirement Planning'!$J$58)*'Retirement Planning'!$I$59+'Retirement Planning'!$K$58,IF((SUM(Z60:Z71)-'Retirement Planning'!$I$54-'Retirement Planning'!$I$61)&gt;'Retirement Planning'!$J$57,(SUM(Z60:Z71)-'Retirement Planning'!$I$54-'Retirement Planning'!$I$61-'Retirement Planning'!$J$57)*'Retirement Planning'!$I$58+'Retirement Planning'!$K$57,IF((SUM(Z60:Z71)-'Retirement Planning'!$I$54-'Retirement Planning'!$I$61)&gt;'Retirement Planning'!$J$56,(SUM(Z60:Z71)-'Retirement Planning'!$I$54-'Retirement Planning'!$I$61-'Retirement Planning'!$J$56)*'Retirement Planning'!$I$57+'Retirement Planning'!$K$56,(SUM(Z60:Z71)-'Retirement Planning'!$I$54-'Retirement Planning'!$I$61)*'Retirement Planning'!$I$56))))))/12,AA71)</f>
        <v>1118.3545852431707</v>
      </c>
      <c r="AB72" s="104">
        <f t="shared" ca="1" si="21"/>
        <v>0.18593207814953319</v>
      </c>
      <c r="AC72" s="7">
        <f>IF(B72&lt;65,'Retirement Planning'!$J$28,0)</f>
        <v>583</v>
      </c>
      <c r="AD72" s="7">
        <f>IF(B72&lt;65,'Retirement Planning'!$J$29/12,0)</f>
        <v>291.66666666666669</v>
      </c>
      <c r="AE72" s="22">
        <f>'Retirement Planning'!$J$31/12</f>
        <v>58.333333333333336</v>
      </c>
      <c r="AF72" s="22">
        <f>'Retirement Planning'!$J$32/12</f>
        <v>66.666666666666671</v>
      </c>
      <c r="AG72" s="7">
        <f>IF($B72&gt;64.9,'Retirement Planning'!$J$39/12,0)</f>
        <v>0</v>
      </c>
      <c r="AH72" s="7">
        <f>IF($B72&gt;64.9,'Retirement Planning'!$J$40/12,0)</f>
        <v>0</v>
      </c>
      <c r="AI72" s="7">
        <f>IF($B72&gt;64.9,'Retirement Planning'!$J$41/12,0)</f>
        <v>0</v>
      </c>
      <c r="AJ72" s="7">
        <f t="shared" ca="1" si="6"/>
        <v>0</v>
      </c>
      <c r="AK72" s="3" t="str">
        <f t="shared" ca="1" si="7"/>
        <v>N/A</v>
      </c>
      <c r="AL72" s="6" t="str">
        <f t="shared" ca="1" si="8"/>
        <v>N/A</v>
      </c>
      <c r="AM72" s="7">
        <f t="shared" ca="1" si="9"/>
        <v>6.8212102632969618E-13</v>
      </c>
      <c r="AN72" s="7">
        <f t="shared" ca="1" si="10"/>
        <v>8283.9282207265423</v>
      </c>
      <c r="AO72" s="7">
        <f t="shared" si="11"/>
        <v>999.66666666666674</v>
      </c>
    </row>
    <row r="73" spans="1:41" x14ac:dyDescent="0.2">
      <c r="A73">
        <f t="shared" si="12"/>
        <v>50</v>
      </c>
      <c r="B73" s="5">
        <f t="shared" si="13"/>
        <v>61.5</v>
      </c>
      <c r="C73" s="56">
        <f t="shared" si="14"/>
        <v>48335</v>
      </c>
      <c r="D73" s="57">
        <f ca="1">IF(AND(B72&lt;59.5,OR(B73&gt;59.5,B73=59.5)),(D72-E72+J72-K72)*(1+'Retirement Planning'!$J$23/12),(D72-E72)*(1+'Retirement Planning'!$J$23/12))</f>
        <v>247180.69594595049</v>
      </c>
      <c r="E73" s="58">
        <f t="shared" ca="1" si="0"/>
        <v>747.36523544654301</v>
      </c>
      <c r="F73" s="57">
        <f ca="1">IF(AND(OR(B73&gt;59.5,B73=59.5),B72&lt;59.5),(F72-G72+L72-M72+N72-O72)*(1+'Retirement Planning'!$J$23/12),(F72-G72)*(1+'Retirement Planning'!$J$23/12))</f>
        <v>1080521.7824336782</v>
      </c>
      <c r="G73" s="58">
        <f ca="1">IF(AND($B$10&lt;55,B73&lt;59.5),'Retirement Planning'!$J$25,IF(OR(B73&gt;59.5,B73=59.5),MAX(0,MIN(F73,IF(D73&lt;2500,((Y73+AJ73+AA73))-X73,((Y73+AJ73+AA73)*'Retirement Planning'!$J$44)-X73))),0))</f>
        <v>5900.2518587885006</v>
      </c>
      <c r="H73" s="255">
        <f ca="1">IF(MONTH(C73)=1,IF(B73&gt;69.5,F73/(INDEX('Retirement Planning'!D$1:D$264,(160+INT(B73))))/12,0),IF(F73=0,0,H72))</f>
        <v>0</v>
      </c>
      <c r="I73" s="262">
        <f t="shared" ca="1" si="1"/>
        <v>0</v>
      </c>
      <c r="J73" s="254">
        <f ca="1">IF(AND(B72&lt;59.5,OR(B73=59.5,B73&gt;59.5)),0,(J72-K72)*(1+'Retirement Planning'!$J$23/12))</f>
        <v>0</v>
      </c>
      <c r="K73" s="58">
        <f t="shared" ca="1" si="2"/>
        <v>0</v>
      </c>
      <c r="L73" s="57">
        <f>IF(AND(OR(B73&gt;59.5,B73=59.5),B72&lt;59.5),0,(L72-M72)*(1+'Retirement Planning'!$J$23/12))</f>
        <v>0</v>
      </c>
      <c r="M73" s="59">
        <f>IF(AND($B$10&lt;55,B73&lt;59.5),0,IF(B73&lt;59.5,MAX(0,MIN((($Y73+$AJ73+AA73)*'Retirement Planning'!$J$44)-$G73-$X73,L73)),0))</f>
        <v>0</v>
      </c>
      <c r="N73" s="57">
        <f ca="1">(N72-O72)*(1+'Retirement Planning'!$J$23/12)</f>
        <v>0</v>
      </c>
      <c r="O73" s="59">
        <f ca="1">IF(B73&gt;59.5,MAX(0,MIN((AA73+$Y73+$AJ73)*(IF(D73&lt;(MIN(E61:E72)+1),1,'Retirement Planning'!$J$44))-M73-$G73-$X73-(IF(D73&lt;(MIN(E61:E72)+1),D73,0)),N73)),0)</f>
        <v>0</v>
      </c>
      <c r="P73" s="57">
        <f t="shared" si="15"/>
        <v>3095.9999999999864</v>
      </c>
      <c r="Q73" s="58">
        <f t="shared" si="16"/>
        <v>641.33333333333337</v>
      </c>
      <c r="R73" s="57">
        <f ca="1">(R72-S72-T72)*(1+'Retirement Planning'!$J$23/12)</f>
        <v>236215.03444732277</v>
      </c>
      <c r="S73" s="58">
        <f t="shared" ca="1" si="17"/>
        <v>358.33333333333337</v>
      </c>
      <c r="T73" s="273">
        <f t="shared" ca="1" si="3"/>
        <v>-9.0949470177292824E-13</v>
      </c>
      <c r="U73" s="57">
        <f ca="1">(U72-V72)*(1+'Retirement Planning'!$J$23/12)</f>
        <v>206682.27053044792</v>
      </c>
      <c r="V73" s="24">
        <f ca="1">IF(AND($B$10&lt;55,B73&lt;59.5),MIN(U73,MAX(0,(Y73+AA73+AJ73-G73)*'Retirement Planning'!$J$45)),IF(B73&lt;59.5,(MIN(U73,MAX(0,((Y73+AA73+AJ73)-G73-M73)*'Retirement Planning'!$J$45))),MIN(U73,MAX(0,(Y73+AA73+AJ73-G73-M73-K73-X73)*'Retirement Planning'!$J$45))))</f>
        <v>636.64445982483289</v>
      </c>
      <c r="W73" s="7">
        <f t="shared" ca="1" si="4"/>
        <v>1773695.7833573993</v>
      </c>
      <c r="X73" s="7">
        <f>(IF(B73&gt;'Retirement Planning'!$J$34,IF('Retirement Planning'!$J$34=70,'Retirement Planning'!$J$37/12,IF('Retirement Planning'!$J$34=67,'Retirement Planning'!$J$36/12,'Retirement Planning'!$J$35/12)),0))*'Retirement Planning'!$J$38</f>
        <v>0</v>
      </c>
      <c r="Y73" s="7">
        <f ca="1">'Retirement Planning'!$F$35*((1+'Retirement Planning'!$J$24)^(YEAR('Projected Retirement Drawdown'!C73)-YEAR(TODAY())))</f>
        <v>6165.9069688167056</v>
      </c>
      <c r="Z73" s="7">
        <f ca="1">G73+M73+O73+0.85*X73+V73*'Retirement Planning'!$J$46+T73</f>
        <v>6250.4063116921579</v>
      </c>
      <c r="AA73" s="7">
        <f ca="1">IF(MONTH(C73)=1,(((MIN(MAX(0,((SUM(Z61:Z72)-'Retirement Planning'!$I$53-'Retirement Planning'!$I$54)-'Retirement Planning'!$J$51)*'Retirement Planning'!$I$52))))+(MIN(MAX(0,((SUM(Z61:Z72)-'Retirement Planning'!$I$53-'Retirement Planning'!$I$54)-'Retirement Planning'!$J$50)*'Retirement Planning'!$I$51),('Retirement Planning'!$J$51-'Retirement Planning'!$J$50)*'Retirement Planning'!$I$51))+(MIN(MAX(0,((SUM(Z61:Z72)-'Retirement Planning'!$I$53-'Retirement Planning'!$I$54)-'Retirement Planning'!$J$49)*'Retirement Planning'!$I$50),('Retirement Planning'!$J$50-'Retirement Planning'!$J$49)*'Retirement Planning'!$I$50)+MIN(MAX(0,((SUM(Z61:Z72)-'Retirement Planning'!$I$53-'Retirement Planning'!$I$54)-'Retirement Planning'!$J$48)*'Retirement Planning'!$I$49),('Retirement Planning'!$J$49-'Retirement Planning'!$J$48)*'Retirement Planning'!$I$49)+MIN(((SUM(Z61:Z72)-'Retirement Planning'!$I$53-'Retirement Planning'!$I$54))*'Retirement Planning'!$I$48,('Retirement Planning'!$J$48)*'Retirement Planning'!$I$48))+(IF((SUM(Z61:Z72)-'Retirement Planning'!$I$54-'Retirement Planning'!$I$61)&gt;'Retirement Planning'!$J$59,(SUM(Z61:Z72)-'Retirement Planning'!$I$54-'Retirement Planning'!$I$61-'Retirement Planning'!$J$59)*'Retirement Planning'!$I$60+'Retirement Planning'!$K$59,IF((SUM(Z61:Z72)-'Retirement Planning'!$I$54-'Retirement Planning'!$I$61)&gt;'Retirement Planning'!$J$58,(SUM(Z61:Z72)-'Retirement Planning'!$I$54-'Retirement Planning'!$I$61-'Retirement Planning'!$J$58)*'Retirement Planning'!$I$59+'Retirement Planning'!$K$58,IF((SUM(Z61:Z72)-'Retirement Planning'!$I$54-'Retirement Planning'!$I$61)&gt;'Retirement Planning'!$J$57,(SUM(Z61:Z72)-'Retirement Planning'!$I$54-'Retirement Planning'!$I$61-'Retirement Planning'!$J$57)*'Retirement Planning'!$I$58+'Retirement Planning'!$K$57,IF((SUM(Z61:Z72)-'Retirement Planning'!$I$54-'Retirement Planning'!$I$61)&gt;'Retirement Planning'!$J$56,(SUM(Z61:Z72)-'Retirement Planning'!$I$54-'Retirement Planning'!$I$61-'Retirement Planning'!$J$56)*'Retirement Planning'!$I$57+'Retirement Planning'!$K$56,(SUM(Z61:Z72)-'Retirement Planning'!$I$54-'Retirement Planning'!$I$61)*'Retirement Planning'!$I$56))))))/12,AA72)</f>
        <v>1118.3545852431707</v>
      </c>
      <c r="AB73" s="104">
        <f t="shared" ca="1" si="21"/>
        <v>0.18593207814953319</v>
      </c>
      <c r="AC73" s="7">
        <f>IF(B73&lt;65,'Retirement Planning'!$J$28,0)</f>
        <v>583</v>
      </c>
      <c r="AD73" s="7">
        <f>IF(B73&lt;65,'Retirement Planning'!$J$29/12,0)</f>
        <v>291.66666666666669</v>
      </c>
      <c r="AE73" s="22">
        <f>'Retirement Planning'!$J$31/12</f>
        <v>58.333333333333336</v>
      </c>
      <c r="AF73" s="22">
        <f>'Retirement Planning'!$J$32/12</f>
        <v>66.666666666666671</v>
      </c>
      <c r="AG73" s="7">
        <f>IF($B73&gt;64.9,'Retirement Planning'!$J$39/12,0)</f>
        <v>0</v>
      </c>
      <c r="AH73" s="7">
        <f>IF($B73&gt;64.9,'Retirement Planning'!$J$40/12,0)</f>
        <v>0</v>
      </c>
      <c r="AI73" s="7">
        <f>IF($B73&gt;64.9,'Retirement Planning'!$J$41/12,0)</f>
        <v>0</v>
      </c>
      <c r="AJ73" s="7">
        <f t="shared" ca="1" si="6"/>
        <v>0</v>
      </c>
      <c r="AK73" s="3" t="str">
        <f t="shared" ca="1" si="7"/>
        <v>N/A</v>
      </c>
      <c r="AL73" s="6" t="str">
        <f t="shared" ca="1" si="8"/>
        <v>N/A</v>
      </c>
      <c r="AM73" s="7">
        <f t="shared" ca="1" si="9"/>
        <v>6.8212102632969618E-13</v>
      </c>
      <c r="AN73" s="7">
        <f t="shared" ca="1" si="10"/>
        <v>8283.9282207265423</v>
      </c>
      <c r="AO73" s="7">
        <f t="shared" si="11"/>
        <v>999.66666666666674</v>
      </c>
    </row>
    <row r="74" spans="1:41" x14ac:dyDescent="0.2">
      <c r="A74">
        <f t="shared" si="12"/>
        <v>50</v>
      </c>
      <c r="B74" s="5">
        <f t="shared" si="13"/>
        <v>61.6</v>
      </c>
      <c r="C74" s="56">
        <f t="shared" si="14"/>
        <v>48366</v>
      </c>
      <c r="D74" s="57">
        <f ca="1">IF(AND(B73&lt;59.5,OR(B74&gt;59.5,B74=59.5)),(D73-E73+J73-K73)*(1+'Retirement Planning'!$J$23/12),(D73-E73)*(1+'Retirement Planning'!$J$23/12))</f>
        <v>248178.90013637001</v>
      </c>
      <c r="E74" s="58">
        <f t="shared" ca="1" si="0"/>
        <v>747.36523544654301</v>
      </c>
      <c r="F74" s="57">
        <f ca="1">IF(AND(OR(B74&gt;59.5,B74=59.5),B73&lt;59.5),(F73-G73+L73-M73+N73-O73)*(1+'Retirement Planning'!$J$23/12),(F73-G73)*(1+'Retirement Planning'!$J$23/12))</f>
        <v>1082233.4330831284</v>
      </c>
      <c r="G74" s="58">
        <f ca="1">IF(AND($B$10&lt;55,B74&lt;59.5),'Retirement Planning'!$J$25,IF(OR(B74&gt;59.5,B74=59.5),MAX(0,MIN(F74,IF(D74&lt;2500,((Y74+AJ74+AA74))-X74,((Y74+AJ74+AA74)*'Retirement Planning'!$J$44)-X74))),0))</f>
        <v>5900.2518587885006</v>
      </c>
      <c r="H74" s="255">
        <f ca="1">IF(MONTH(C74)=1,IF(B74&gt;69.5,F74/(INDEX('Retirement Planning'!D$1:D$264,(160+INT(B74))))/12,0),IF(F74=0,0,H73))</f>
        <v>0</v>
      </c>
      <c r="I74" s="262">
        <f t="shared" ca="1" si="1"/>
        <v>0</v>
      </c>
      <c r="J74" s="254">
        <f ca="1">IF(AND(B73&lt;59.5,OR(B74=59.5,B74&gt;59.5)),0,(J73-K73)*(1+'Retirement Planning'!$J$23/12))</f>
        <v>0</v>
      </c>
      <c r="K74" s="58">
        <f t="shared" ca="1" si="2"/>
        <v>0</v>
      </c>
      <c r="L74" s="57">
        <f>IF(AND(OR(B74&gt;59.5,B74=59.5),B73&lt;59.5),0,(L73-M73)*(1+'Retirement Planning'!$J$23/12))</f>
        <v>0</v>
      </c>
      <c r="M74" s="59">
        <f>IF(AND($B$10&lt;55,B74&lt;59.5),0,IF(B74&lt;59.5,MAX(0,MIN((($Y74+$AJ74+AA74)*'Retirement Planning'!$J$44)-$G74-$X74,L74)),0))</f>
        <v>0</v>
      </c>
      <c r="N74" s="57">
        <f ca="1">(N73-O73)*(1+'Retirement Planning'!$J$23/12)</f>
        <v>0</v>
      </c>
      <c r="O74" s="59">
        <f ca="1">IF(B74&gt;59.5,MAX(0,MIN((AA74+$Y74+$AJ74)*(IF(D74&lt;(MIN(E62:E73)+1),1,'Retirement Planning'!$J$44))-M74-$G74-$X74-(IF(D74&lt;(MIN(E62:E73)+1),D74,0)),N74)),0)</f>
        <v>0</v>
      </c>
      <c r="P74" s="57">
        <f t="shared" si="15"/>
        <v>2454.6666666666529</v>
      </c>
      <c r="Q74" s="58">
        <f t="shared" si="16"/>
        <v>641.33333333333337</v>
      </c>
      <c r="R74" s="57">
        <f ca="1">(R73-S73-T73)*(1+'Retirement Planning'!$J$23/12)</f>
        <v>237527.35274688018</v>
      </c>
      <c r="S74" s="58">
        <f t="shared" ca="1" si="17"/>
        <v>358.33333333333337</v>
      </c>
      <c r="T74" s="273">
        <f t="shared" ca="1" si="3"/>
        <v>-9.0949470177292824E-13</v>
      </c>
      <c r="U74" s="57">
        <f ca="1">(U73-V73)*(1+'Retirement Planning'!$J$23/12)</f>
        <v>207505.11592195666</v>
      </c>
      <c r="V74" s="24">
        <f ca="1">IF(AND($B$10&lt;55,B74&lt;59.5),MIN(U74,MAX(0,(Y74+AA74+AJ74-G74)*'Retirement Planning'!$J$45)),IF(B74&lt;59.5,(MIN(U74,MAX(0,((Y74+AA74+AJ74)-G74-M74)*'Retirement Planning'!$J$45))),MIN(U74,MAX(0,(Y74+AA74+AJ74-G74-M74-K74-X74)*'Retirement Planning'!$J$45))))</f>
        <v>636.64445982483289</v>
      </c>
      <c r="W74" s="7">
        <f t="shared" ca="1" si="4"/>
        <v>1777899.468555002</v>
      </c>
      <c r="X74" s="7">
        <f>(IF(B74&gt;'Retirement Planning'!$J$34,IF('Retirement Planning'!$J$34=70,'Retirement Planning'!$J$37/12,IF('Retirement Planning'!$J$34=67,'Retirement Planning'!$J$36/12,'Retirement Planning'!$J$35/12)),0))*'Retirement Planning'!$J$38</f>
        <v>0</v>
      </c>
      <c r="Y74" s="7">
        <f ca="1">'Retirement Planning'!$F$35*((1+'Retirement Planning'!$J$24)^(YEAR('Projected Retirement Drawdown'!C74)-YEAR(TODAY())))</f>
        <v>6165.9069688167056</v>
      </c>
      <c r="Z74" s="7">
        <f ca="1">G74+M74+O74+0.85*X74+V74*'Retirement Planning'!$J$46+T74</f>
        <v>6250.4063116921579</v>
      </c>
      <c r="AA74" s="7">
        <f ca="1">IF(MONTH(C74)=1,(((MIN(MAX(0,((SUM(Z62:Z73)-'Retirement Planning'!$I$53-'Retirement Planning'!$I$54)-'Retirement Planning'!$J$51)*'Retirement Planning'!$I$52))))+(MIN(MAX(0,((SUM(Z62:Z73)-'Retirement Planning'!$I$53-'Retirement Planning'!$I$54)-'Retirement Planning'!$J$50)*'Retirement Planning'!$I$51),('Retirement Planning'!$J$51-'Retirement Planning'!$J$50)*'Retirement Planning'!$I$51))+(MIN(MAX(0,((SUM(Z62:Z73)-'Retirement Planning'!$I$53-'Retirement Planning'!$I$54)-'Retirement Planning'!$J$49)*'Retirement Planning'!$I$50),('Retirement Planning'!$J$50-'Retirement Planning'!$J$49)*'Retirement Planning'!$I$50)+MIN(MAX(0,((SUM(Z62:Z73)-'Retirement Planning'!$I$53-'Retirement Planning'!$I$54)-'Retirement Planning'!$J$48)*'Retirement Planning'!$I$49),('Retirement Planning'!$J$49-'Retirement Planning'!$J$48)*'Retirement Planning'!$I$49)+MIN(((SUM(Z62:Z73)-'Retirement Planning'!$I$53-'Retirement Planning'!$I$54))*'Retirement Planning'!$I$48,('Retirement Planning'!$J$48)*'Retirement Planning'!$I$48))+(IF((SUM(Z62:Z73)-'Retirement Planning'!$I$54-'Retirement Planning'!$I$61)&gt;'Retirement Planning'!$J$59,(SUM(Z62:Z73)-'Retirement Planning'!$I$54-'Retirement Planning'!$I$61-'Retirement Planning'!$J$59)*'Retirement Planning'!$I$60+'Retirement Planning'!$K$59,IF((SUM(Z62:Z73)-'Retirement Planning'!$I$54-'Retirement Planning'!$I$61)&gt;'Retirement Planning'!$J$58,(SUM(Z62:Z73)-'Retirement Planning'!$I$54-'Retirement Planning'!$I$61-'Retirement Planning'!$J$58)*'Retirement Planning'!$I$59+'Retirement Planning'!$K$58,IF((SUM(Z62:Z73)-'Retirement Planning'!$I$54-'Retirement Planning'!$I$61)&gt;'Retirement Planning'!$J$57,(SUM(Z62:Z73)-'Retirement Planning'!$I$54-'Retirement Planning'!$I$61-'Retirement Planning'!$J$57)*'Retirement Planning'!$I$58+'Retirement Planning'!$K$57,IF((SUM(Z62:Z73)-'Retirement Planning'!$I$54-'Retirement Planning'!$I$61)&gt;'Retirement Planning'!$J$56,(SUM(Z62:Z73)-'Retirement Planning'!$I$54-'Retirement Planning'!$I$61-'Retirement Planning'!$J$56)*'Retirement Planning'!$I$57+'Retirement Planning'!$K$56,(SUM(Z62:Z73)-'Retirement Planning'!$I$54-'Retirement Planning'!$I$61)*'Retirement Planning'!$I$56))))))/12,AA73)</f>
        <v>1118.3545852431707</v>
      </c>
      <c r="AB74" s="104">
        <f t="shared" ca="1" si="21"/>
        <v>0.18593207814953319</v>
      </c>
      <c r="AC74" s="7">
        <f>IF(B74&lt;65,'Retirement Planning'!$J$28,0)</f>
        <v>583</v>
      </c>
      <c r="AD74" s="7">
        <f>IF(B74&lt;65,'Retirement Planning'!$J$29/12,0)</f>
        <v>291.66666666666669</v>
      </c>
      <c r="AE74" s="22">
        <f>'Retirement Planning'!$J$31/12</f>
        <v>58.333333333333336</v>
      </c>
      <c r="AF74" s="22">
        <f>'Retirement Planning'!$J$32/12</f>
        <v>66.666666666666671</v>
      </c>
      <c r="AG74" s="7">
        <f>IF($B74&gt;64.9,'Retirement Planning'!$J$39/12,0)</f>
        <v>0</v>
      </c>
      <c r="AH74" s="7">
        <f>IF($B74&gt;64.9,'Retirement Planning'!$J$40/12,0)</f>
        <v>0</v>
      </c>
      <c r="AI74" s="7">
        <f>IF($B74&gt;64.9,'Retirement Planning'!$J$41/12,0)</f>
        <v>0</v>
      </c>
      <c r="AJ74" s="7">
        <f t="shared" ca="1" si="6"/>
        <v>0</v>
      </c>
      <c r="AK74" s="3" t="str">
        <f t="shared" ca="1" si="7"/>
        <v>N/A</v>
      </c>
      <c r="AL74" s="6" t="str">
        <f t="shared" ca="1" si="8"/>
        <v>N/A</v>
      </c>
      <c r="AM74" s="7">
        <f t="shared" ca="1" si="9"/>
        <v>6.8212102632969618E-13</v>
      </c>
      <c r="AN74" s="7">
        <f t="shared" ca="1" si="10"/>
        <v>8283.9282207265423</v>
      </c>
      <c r="AO74" s="7">
        <f t="shared" si="11"/>
        <v>999.66666666666674</v>
      </c>
    </row>
    <row r="75" spans="1:41" x14ac:dyDescent="0.2">
      <c r="A75">
        <f t="shared" si="12"/>
        <v>50</v>
      </c>
      <c r="B75" s="5">
        <f t="shared" si="13"/>
        <v>61.7</v>
      </c>
      <c r="C75" s="56">
        <f t="shared" si="14"/>
        <v>48396</v>
      </c>
      <c r="D75" s="57">
        <f ca="1">IF(AND(B74&lt;59.5,OR(B75&gt;59.5,B75=59.5)),(D74-E74+J74-K74)*(1+'Retirement Planning'!$J$23/12),(D74-E74)*(1+'Retirement Planning'!$J$23/12))</f>
        <v>249184.174939805</v>
      </c>
      <c r="E75" s="58">
        <f t="shared" ref="E75:E138" ca="1" si="26">MIN(D75,MAX(0,Y75+AA75+AJ75-X75-V75-M75-G75-K75))</f>
        <v>747.36523544654301</v>
      </c>
      <c r="F75" s="57">
        <f ca="1">IF(AND(OR(B75&gt;59.5,B75=59.5),B74&lt;59.5),(F74-G74+L74-M74+N74-O74)*(1+'Retirement Planning'!$J$23/12),(F74-G74)*(1+'Retirement Planning'!$J$23/12))</f>
        <v>1083957.2079246789</v>
      </c>
      <c r="G75" s="58">
        <f ca="1">IF(AND($B$10&lt;55,B75&lt;59.5),'Retirement Planning'!$J$25,IF(OR(B75&gt;59.5,B75=59.5),MAX(0,MIN(F75,IF(D75&lt;2500,((Y75+AJ75+AA75))-X75,((Y75+AJ75+AA75)*'Retirement Planning'!$J$44)-X75))),0))</f>
        <v>5900.2518587885006</v>
      </c>
      <c r="H75" s="255">
        <f ca="1">IF(MONTH(C75)=1,IF(B75&gt;69.5,F75/(INDEX('Retirement Planning'!D$1:D$264,(160+INT(B75))))/12,0),IF(F75=0,0,H74))</f>
        <v>0</v>
      </c>
      <c r="I75" s="262">
        <f t="shared" ref="I75:I138" ca="1" si="27">MAX(0,H75-G75)</f>
        <v>0</v>
      </c>
      <c r="J75" s="254">
        <f ca="1">IF(AND(B74&lt;59.5,OR(B75=59.5,B75&gt;59.5)),0,(J74-K74)*(1+'Retirement Planning'!$J$23/12))</f>
        <v>0</v>
      </c>
      <c r="K75" s="58">
        <f t="shared" ref="K75:K138" ca="1" si="28">IF(B75&gt;59.5,MAX(0,MIN(J75,AA75+Y75+AJ75-O75-M75-G75-X75)),0)</f>
        <v>0</v>
      </c>
      <c r="L75" s="57">
        <f>IF(AND(OR(B75&gt;59.5,B75=59.5),B74&lt;59.5),0,(L74-M74)*(1+'Retirement Planning'!$J$23/12))</f>
        <v>0</v>
      </c>
      <c r="M75" s="59">
        <f>IF(AND($B$10&lt;55,B75&lt;59.5),0,IF(B75&lt;59.5,MAX(0,MIN((($Y75+$AJ75+AA75)*'Retirement Planning'!$J$44)-$G75-$X75,L75)),0))</f>
        <v>0</v>
      </c>
      <c r="N75" s="57">
        <f ca="1">(N74-O74)*(1+'Retirement Planning'!$J$23/12)</f>
        <v>0</v>
      </c>
      <c r="O75" s="59">
        <f ca="1">IF(B75&gt;59.5,MAX(0,MIN((AA75+$Y75+$AJ75)*(IF(D75&lt;(MIN(E63:E74)+1),1,'Retirement Planning'!$J$44))-M75-$G75-$X75-(IF(D75&lt;(MIN(E63:E74)+1),D75,0)),N75)),0)</f>
        <v>0</v>
      </c>
      <c r="P75" s="57">
        <f t="shared" si="15"/>
        <v>1813.3333333333194</v>
      </c>
      <c r="Q75" s="58">
        <f t="shared" si="16"/>
        <v>641.33333333333337</v>
      </c>
      <c r="R75" s="57">
        <f ca="1">(R74-S74-T74)*(1+'Retirement Planning'!$J$23/12)</f>
        <v>238848.9666343928</v>
      </c>
      <c r="S75" s="58">
        <f t="shared" ca="1" si="17"/>
        <v>358.33333333333337</v>
      </c>
      <c r="T75" s="273">
        <f t="shared" ref="T75:T138" ca="1" si="29">MIN(AN75-E75-G75-K75-M75-O75-Q75-S75-V75-X75,R75-S75)</f>
        <v>-9.0949470177292824E-13</v>
      </c>
      <c r="U75" s="57">
        <f ca="1">(U74-V74)*(1+'Retirement Planning'!$J$23/12)</f>
        <v>208333.78980165525</v>
      </c>
      <c r="V75" s="24">
        <f ca="1">IF(AND($B$10&lt;55,B75&lt;59.5),MIN(U75,MAX(0,(Y75+AA75+AJ75-G75)*'Retirement Planning'!$J$45)),IF(B75&lt;59.5,(MIN(U75,MAX(0,((Y75+AA75+AJ75)-G75-M75)*'Retirement Planning'!$J$45))),MIN(U75,MAX(0,(Y75+AA75+AJ75-G75-M75-K75-X75)*'Retirement Planning'!$J$45))))</f>
        <v>636.64445982483289</v>
      </c>
      <c r="W75" s="7">
        <f t="shared" ref="W75:W138" ca="1" si="30">D75+F75+J75+L75+N75+P75+R75+U75</f>
        <v>1782137.4726338652</v>
      </c>
      <c r="X75" s="7">
        <f>(IF(B75&gt;'Retirement Planning'!$J$34,IF('Retirement Planning'!$J$34=70,'Retirement Planning'!$J$37/12,IF('Retirement Planning'!$J$34=67,'Retirement Planning'!$J$36/12,'Retirement Planning'!$J$35/12)),0))*'Retirement Planning'!$J$38</f>
        <v>0</v>
      </c>
      <c r="Y75" s="7">
        <f ca="1">'Retirement Planning'!$F$35*((1+'Retirement Planning'!$J$24)^(YEAR('Projected Retirement Drawdown'!C75)-YEAR(TODAY())))</f>
        <v>6165.9069688167056</v>
      </c>
      <c r="Z75" s="7">
        <f ca="1">G75+M75+O75+0.85*X75+V75*'Retirement Planning'!$J$46+T75</f>
        <v>6250.4063116921579</v>
      </c>
      <c r="AA75" s="7">
        <f ca="1">IF(MONTH(C75)=1,(((MIN(MAX(0,((SUM(Z63:Z74)-'Retirement Planning'!$I$53-'Retirement Planning'!$I$54)-'Retirement Planning'!$J$51)*'Retirement Planning'!$I$52))))+(MIN(MAX(0,((SUM(Z63:Z74)-'Retirement Planning'!$I$53-'Retirement Planning'!$I$54)-'Retirement Planning'!$J$50)*'Retirement Planning'!$I$51),('Retirement Planning'!$J$51-'Retirement Planning'!$J$50)*'Retirement Planning'!$I$51))+(MIN(MAX(0,((SUM(Z63:Z74)-'Retirement Planning'!$I$53-'Retirement Planning'!$I$54)-'Retirement Planning'!$J$49)*'Retirement Planning'!$I$50),('Retirement Planning'!$J$50-'Retirement Planning'!$J$49)*'Retirement Planning'!$I$50)+MIN(MAX(0,((SUM(Z63:Z74)-'Retirement Planning'!$I$53-'Retirement Planning'!$I$54)-'Retirement Planning'!$J$48)*'Retirement Planning'!$I$49),('Retirement Planning'!$J$49-'Retirement Planning'!$J$48)*'Retirement Planning'!$I$49)+MIN(((SUM(Z63:Z74)-'Retirement Planning'!$I$53-'Retirement Planning'!$I$54))*'Retirement Planning'!$I$48,('Retirement Planning'!$J$48)*'Retirement Planning'!$I$48))+(IF((SUM(Z63:Z74)-'Retirement Planning'!$I$54-'Retirement Planning'!$I$61)&gt;'Retirement Planning'!$J$59,(SUM(Z63:Z74)-'Retirement Planning'!$I$54-'Retirement Planning'!$I$61-'Retirement Planning'!$J$59)*'Retirement Planning'!$I$60+'Retirement Planning'!$K$59,IF((SUM(Z63:Z74)-'Retirement Planning'!$I$54-'Retirement Planning'!$I$61)&gt;'Retirement Planning'!$J$58,(SUM(Z63:Z74)-'Retirement Planning'!$I$54-'Retirement Planning'!$I$61-'Retirement Planning'!$J$58)*'Retirement Planning'!$I$59+'Retirement Planning'!$K$58,IF((SUM(Z63:Z74)-'Retirement Planning'!$I$54-'Retirement Planning'!$I$61)&gt;'Retirement Planning'!$J$57,(SUM(Z63:Z74)-'Retirement Planning'!$I$54-'Retirement Planning'!$I$61-'Retirement Planning'!$J$57)*'Retirement Planning'!$I$58+'Retirement Planning'!$K$57,IF((SUM(Z63:Z74)-'Retirement Planning'!$I$54-'Retirement Planning'!$I$61)&gt;'Retirement Planning'!$J$56,(SUM(Z63:Z74)-'Retirement Planning'!$I$54-'Retirement Planning'!$I$61-'Retirement Planning'!$J$56)*'Retirement Planning'!$I$57+'Retirement Planning'!$K$56,(SUM(Z63:Z74)-'Retirement Planning'!$I$54-'Retirement Planning'!$I$61)*'Retirement Planning'!$I$56))))))/12,AA74)</f>
        <v>1118.3545852431707</v>
      </c>
      <c r="AB75" s="104">
        <f t="shared" ca="1" si="21"/>
        <v>0.18593207814953319</v>
      </c>
      <c r="AC75" s="7">
        <f>IF(B75&lt;65,'Retirement Planning'!$J$28,0)</f>
        <v>583</v>
      </c>
      <c r="AD75" s="7">
        <f>IF(B75&lt;65,'Retirement Planning'!$J$29/12,0)</f>
        <v>291.66666666666669</v>
      </c>
      <c r="AE75" s="22">
        <f>'Retirement Planning'!$J$31/12</f>
        <v>58.333333333333336</v>
      </c>
      <c r="AF75" s="22">
        <f>'Retirement Planning'!$J$32/12</f>
        <v>66.666666666666671</v>
      </c>
      <c r="AG75" s="7">
        <f>IF($B75&gt;64.9,'Retirement Planning'!$J$39/12,0)</f>
        <v>0</v>
      </c>
      <c r="AH75" s="7">
        <f>IF($B75&gt;64.9,'Retirement Planning'!$J$40/12,0)</f>
        <v>0</v>
      </c>
      <c r="AI75" s="7">
        <f>IF($B75&gt;64.9,'Retirement Planning'!$J$41/12,0)</f>
        <v>0</v>
      </c>
      <c r="AJ75" s="7">
        <f t="shared" ref="AJ75:AJ138" ca="1" si="31">AC75+AD75+AE75+AF75+AG75+AH75+AI75-S75-Q75</f>
        <v>0</v>
      </c>
      <c r="AK75" s="3" t="str">
        <f t="shared" ref="AK75:AK138" ca="1" si="32">IF(AND(R75&lt;AN75,R74&gt;AN74),C75,AK74)</f>
        <v>N/A</v>
      </c>
      <c r="AL75" s="6" t="str">
        <f t="shared" ref="AL75:AL138" ca="1" si="33">IF(AND(R75&lt;AN75,R74&gt;AN74),B75,AL74)</f>
        <v>N/A</v>
      </c>
      <c r="AM75" s="7">
        <f t="shared" ref="AM75:AM138" ca="1" si="34">AA75+Y75+AC75+AD75+AE75+AF75+AG75+AH75+AI75-X75-S75-Q75-O75-M75-K75-G75-E75-V75-T75</f>
        <v>6.8212102632969618E-13</v>
      </c>
      <c r="AN75" s="7">
        <f t="shared" ref="AN75:AN138" ca="1" si="35">AI75+AH75+AG75+AF75+AE75+AD75+AC75+AA75+Y75</f>
        <v>8283.9282207265423</v>
      </c>
      <c r="AO75" s="7">
        <f t="shared" ref="AO75:AO138" si="36">AC75+AD75+AE75+AF75+AG75+AH75+AI75</f>
        <v>999.66666666666674</v>
      </c>
    </row>
    <row r="76" spans="1:41" x14ac:dyDescent="0.2">
      <c r="A76">
        <f t="shared" ref="A76:A139" si="37">IF(AND(B76&gt;59.5,B75&lt;59.6),ROW(B76),A75)</f>
        <v>50</v>
      </c>
      <c r="B76" s="5">
        <f t="shared" ref="B76:B139" si="38">(INT((((YEAR(C76)-YEAR(DATE(1970,10,16)))*12+MONTH(C76)-MONTH(DATE(1970,10,16)))/12)*10))/10</f>
        <v>61.8</v>
      </c>
      <c r="C76" s="56">
        <f t="shared" ref="C76:C139" si="39">DATE(YEAR(C75),MONTH(C75)+1,1)</f>
        <v>48427</v>
      </c>
      <c r="D76" s="57">
        <f ca="1">IF(AND(B75&lt;59.5,OR(B76&gt;59.5,B76=59.5)),(D75-E75+J75-K75)*(1+'Retirement Planning'!$J$23/12),(D75-E75)*(1+'Retirement Planning'!$J$23/12))</f>
        <v>250196.57043976433</v>
      </c>
      <c r="E76" s="58">
        <f t="shared" ca="1" si="26"/>
        <v>747.36523544654301</v>
      </c>
      <c r="F76" s="57">
        <f ca="1">IF(AND(OR(B76&gt;59.5,B76=59.5),B75&lt;59.5),(F75-G75+L75-M75+N75-O75)*(1+'Retirement Planning'!$J$23/12),(F75-G75)*(1+'Retirement Planning'!$J$23/12))</f>
        <v>1085693.1928380239</v>
      </c>
      <c r="G76" s="58">
        <f ca="1">IF(AND($B$10&lt;55,B76&lt;59.5),'Retirement Planning'!$J$25,IF(OR(B76&gt;59.5,B76=59.5),MAX(0,MIN(F76,IF(D76&lt;2500,((Y76+AJ76+AA76))-X76,((Y76+AJ76+AA76)*'Retirement Planning'!$J$44)-X76))),0))</f>
        <v>5900.2518587885006</v>
      </c>
      <c r="H76" s="255">
        <f ca="1">IF(MONTH(C76)=1,IF(B76&gt;69.5,F76/(INDEX('Retirement Planning'!D$1:D$264,(160+INT(B76))))/12,0),IF(F76=0,0,H75))</f>
        <v>0</v>
      </c>
      <c r="I76" s="262">
        <f t="shared" ca="1" si="27"/>
        <v>0</v>
      </c>
      <c r="J76" s="254">
        <f ca="1">IF(AND(B75&lt;59.5,OR(B76=59.5,B76&gt;59.5)),0,(J75-K75)*(1+'Retirement Planning'!$J$23/12))</f>
        <v>0</v>
      </c>
      <c r="K76" s="58">
        <f t="shared" ca="1" si="28"/>
        <v>0</v>
      </c>
      <c r="L76" s="57">
        <f>IF(AND(OR(B76&gt;59.5,B76=59.5),B75&lt;59.5),0,(L75-M75)*(1+'Retirement Planning'!$J$23/12))</f>
        <v>0</v>
      </c>
      <c r="M76" s="59">
        <f>IF(AND($B$10&lt;55,B76&lt;59.5),0,IF(B76&lt;59.5,MAX(0,MIN((($Y76+$AJ76+AA76)*'Retirement Planning'!$J$44)-$G76-$X76,L76)),0))</f>
        <v>0</v>
      </c>
      <c r="N76" s="57">
        <f ca="1">(N75-O75)*(1+'Retirement Planning'!$J$23/12)</f>
        <v>0</v>
      </c>
      <c r="O76" s="59">
        <f ca="1">IF(B76&gt;59.5,MAX(0,MIN((AA76+$Y76+$AJ76)*(IF(D76&lt;(MIN(E64:E75)+1),1,'Retirement Planning'!$J$44))-M76-$G76-$X76-(IF(D76&lt;(MIN(E64:E75)+1),D76,0)),N76)),0)</f>
        <v>0</v>
      </c>
      <c r="P76" s="57">
        <f t="shared" ref="P76:P139" si="40">P75-Q75</f>
        <v>1171.9999999999859</v>
      </c>
      <c r="Q76" s="58">
        <f t="shared" ref="Q76:Q139" si="41">MIN(AC76+AE76+AH76,P76)</f>
        <v>641.33333333333337</v>
      </c>
      <c r="R76" s="57">
        <f ca="1">(R75-S75-T75)*(1+'Retirement Planning'!$J$23/12)</f>
        <v>240179.94195360862</v>
      </c>
      <c r="S76" s="58">
        <f t="shared" ref="S76:S139" ca="1" si="42">MIN(AD76+AF76+AG76+AI76,R76)</f>
        <v>358.33333333333337</v>
      </c>
      <c r="T76" s="273">
        <f t="shared" ca="1" si="29"/>
        <v>-9.0949470177292824E-13</v>
      </c>
      <c r="U76" s="57">
        <f ca="1">(U75-V75)*(1+'Retirement Planning'!$J$23/12)</f>
        <v>209168.33345466838</v>
      </c>
      <c r="V76" s="24">
        <f ca="1">IF(AND($B$10&lt;55,B76&lt;59.5),MIN(U76,MAX(0,(Y76+AA76+AJ76-G76)*'Retirement Planning'!$J$45)),IF(B76&lt;59.5,(MIN(U76,MAX(0,((Y76+AA76+AJ76)-G76-M76)*'Retirement Planning'!$J$45))),MIN(U76,MAX(0,(Y76+AA76+AJ76-G76-M76-K76-X76)*'Retirement Planning'!$J$45))))</f>
        <v>636.64445982483289</v>
      </c>
      <c r="W76" s="7">
        <f t="shared" ca="1" si="30"/>
        <v>1786410.038686065</v>
      </c>
      <c r="X76" s="7">
        <f>(IF(B76&gt;'Retirement Planning'!$J$34,IF('Retirement Planning'!$J$34=70,'Retirement Planning'!$J$37/12,IF('Retirement Planning'!$J$34=67,'Retirement Planning'!$J$36/12,'Retirement Planning'!$J$35/12)),0))*'Retirement Planning'!$J$38</f>
        <v>0</v>
      </c>
      <c r="Y76" s="7">
        <f ca="1">'Retirement Planning'!$F$35*((1+'Retirement Planning'!$J$24)^(YEAR('Projected Retirement Drawdown'!C76)-YEAR(TODAY())))</f>
        <v>6165.9069688167056</v>
      </c>
      <c r="Z76" s="7">
        <f ca="1">G76+M76+O76+0.85*X76+V76*'Retirement Planning'!$J$46+T76</f>
        <v>6250.4063116921579</v>
      </c>
      <c r="AA76" s="7">
        <f ca="1">IF(MONTH(C76)=1,(((MIN(MAX(0,((SUM(Z64:Z75)-'Retirement Planning'!$I$53-'Retirement Planning'!$I$54)-'Retirement Planning'!$J$51)*'Retirement Planning'!$I$52))))+(MIN(MAX(0,((SUM(Z64:Z75)-'Retirement Planning'!$I$53-'Retirement Planning'!$I$54)-'Retirement Planning'!$J$50)*'Retirement Planning'!$I$51),('Retirement Planning'!$J$51-'Retirement Planning'!$J$50)*'Retirement Planning'!$I$51))+(MIN(MAX(0,((SUM(Z64:Z75)-'Retirement Planning'!$I$53-'Retirement Planning'!$I$54)-'Retirement Planning'!$J$49)*'Retirement Planning'!$I$50),('Retirement Planning'!$J$50-'Retirement Planning'!$J$49)*'Retirement Planning'!$I$50)+MIN(MAX(0,((SUM(Z64:Z75)-'Retirement Planning'!$I$53-'Retirement Planning'!$I$54)-'Retirement Planning'!$J$48)*'Retirement Planning'!$I$49),('Retirement Planning'!$J$49-'Retirement Planning'!$J$48)*'Retirement Planning'!$I$49)+MIN(((SUM(Z64:Z75)-'Retirement Planning'!$I$53-'Retirement Planning'!$I$54))*'Retirement Planning'!$I$48,('Retirement Planning'!$J$48)*'Retirement Planning'!$I$48))+(IF((SUM(Z64:Z75)-'Retirement Planning'!$I$54-'Retirement Planning'!$I$61)&gt;'Retirement Planning'!$J$59,(SUM(Z64:Z75)-'Retirement Planning'!$I$54-'Retirement Planning'!$I$61-'Retirement Planning'!$J$59)*'Retirement Planning'!$I$60+'Retirement Planning'!$K$59,IF((SUM(Z64:Z75)-'Retirement Planning'!$I$54-'Retirement Planning'!$I$61)&gt;'Retirement Planning'!$J$58,(SUM(Z64:Z75)-'Retirement Planning'!$I$54-'Retirement Planning'!$I$61-'Retirement Planning'!$J$58)*'Retirement Planning'!$I$59+'Retirement Planning'!$K$58,IF((SUM(Z64:Z75)-'Retirement Planning'!$I$54-'Retirement Planning'!$I$61)&gt;'Retirement Planning'!$J$57,(SUM(Z64:Z75)-'Retirement Planning'!$I$54-'Retirement Planning'!$I$61-'Retirement Planning'!$J$57)*'Retirement Planning'!$I$58+'Retirement Planning'!$K$57,IF((SUM(Z64:Z75)-'Retirement Planning'!$I$54-'Retirement Planning'!$I$61)&gt;'Retirement Planning'!$J$56,(SUM(Z64:Z75)-'Retirement Planning'!$I$54-'Retirement Planning'!$I$61-'Retirement Planning'!$J$56)*'Retirement Planning'!$I$57+'Retirement Planning'!$K$56,(SUM(Z64:Z75)-'Retirement Planning'!$I$54-'Retirement Planning'!$I$61)*'Retirement Planning'!$I$56))))))/12,AA75)</f>
        <v>1118.3545852431707</v>
      </c>
      <c r="AB76" s="104">
        <f t="shared" ca="1" si="21"/>
        <v>0.18593207814953319</v>
      </c>
      <c r="AC76" s="7">
        <f>IF(B76&lt;65,'Retirement Planning'!$J$28,0)</f>
        <v>583</v>
      </c>
      <c r="AD76" s="7">
        <f>IF(B76&lt;65,'Retirement Planning'!$J$29/12,0)</f>
        <v>291.66666666666669</v>
      </c>
      <c r="AE76" s="22">
        <f>'Retirement Planning'!$J$31/12</f>
        <v>58.333333333333336</v>
      </c>
      <c r="AF76" s="22">
        <f>'Retirement Planning'!$J$32/12</f>
        <v>66.666666666666671</v>
      </c>
      <c r="AG76" s="7">
        <f>IF($B76&gt;64.9,'Retirement Planning'!$J$39/12,0)</f>
        <v>0</v>
      </c>
      <c r="AH76" s="7">
        <f>IF($B76&gt;64.9,'Retirement Planning'!$J$40/12,0)</f>
        <v>0</v>
      </c>
      <c r="AI76" s="7">
        <f>IF($B76&gt;64.9,'Retirement Planning'!$J$41/12,0)</f>
        <v>0</v>
      </c>
      <c r="AJ76" s="7">
        <f t="shared" ca="1" si="31"/>
        <v>0</v>
      </c>
      <c r="AK76" s="3" t="str">
        <f t="shared" ca="1" si="32"/>
        <v>N/A</v>
      </c>
      <c r="AL76" s="6" t="str">
        <f t="shared" ca="1" si="33"/>
        <v>N/A</v>
      </c>
      <c r="AM76" s="7">
        <f t="shared" ca="1" si="34"/>
        <v>6.8212102632969618E-13</v>
      </c>
      <c r="AN76" s="7">
        <f t="shared" ca="1" si="35"/>
        <v>8283.9282207265423</v>
      </c>
      <c r="AO76" s="7">
        <f t="shared" si="36"/>
        <v>999.66666666666674</v>
      </c>
    </row>
    <row r="77" spans="1:41" x14ac:dyDescent="0.2">
      <c r="A77">
        <f t="shared" si="37"/>
        <v>50</v>
      </c>
      <c r="B77" s="5">
        <f t="shared" si="38"/>
        <v>61.9</v>
      </c>
      <c r="C77" s="56">
        <f t="shared" si="39"/>
        <v>48458</v>
      </c>
      <c r="D77" s="57">
        <f ca="1">IF(AND(B76&lt;59.5,OR(B77&gt;59.5,B77=59.5)),(D76-E76+J76-K76)*(1+'Retirement Planning'!$J$23/12),(D76-E76)*(1+'Retirement Planning'!$J$23/12))</f>
        <v>251216.13707451502</v>
      </c>
      <c r="E77" s="58">
        <f t="shared" ca="1" si="26"/>
        <v>758.71963544654409</v>
      </c>
      <c r="F77" s="57">
        <f ca="1">IF(AND(OR(B77&gt;59.5,B77=59.5),B76&lt;59.5),(F76-G76+L76-M76+N76-O76)*(1+'Retirement Planning'!$J$23/12),(F76-G76)*(1+'Retirement Planning'!$J$23/12))</f>
        <v>1087441.4743111716</v>
      </c>
      <c r="G77" s="58">
        <f ca="1">IF(AND($B$10&lt;55,B77&lt;59.5),'Retirement Planning'!$J$25,IF(OR(B77&gt;59.5,B77=59.5),MAX(0,MIN(F77,IF(D77&lt;2500,((Y77+AJ77+AA77))-X77,((Y77+AJ77+AA77)*'Retirement Planning'!$J$44)-X77))),0))</f>
        <v>5989.8918587885119</v>
      </c>
      <c r="H77" s="255">
        <f ca="1">IF(MONTH(C77)=1,IF(B77&gt;69.5,F77/(INDEX('Retirement Planning'!D$1:D$264,(160+INT(B77))))/12,0),IF(F77=0,0,H76))</f>
        <v>0</v>
      </c>
      <c r="I77" s="262">
        <f t="shared" ca="1" si="27"/>
        <v>0</v>
      </c>
      <c r="J77" s="254">
        <f ca="1">IF(AND(B76&lt;59.5,OR(B77=59.5,B77&gt;59.5)),0,(J76-K76)*(1+'Retirement Planning'!$J$23/12))</f>
        <v>0</v>
      </c>
      <c r="K77" s="58">
        <f t="shared" ca="1" si="28"/>
        <v>0</v>
      </c>
      <c r="L77" s="57">
        <f>IF(AND(OR(B77&gt;59.5,B77=59.5),B76&lt;59.5),0,(L76-M76)*(1+'Retirement Planning'!$J$23/12))</f>
        <v>0</v>
      </c>
      <c r="M77" s="59">
        <f>IF(AND($B$10&lt;55,B77&lt;59.5),0,IF(B77&lt;59.5,MAX(0,MIN((($Y77+$AJ77+AA77)*'Retirement Planning'!$J$44)-$G77-$X77,L77)),0))</f>
        <v>0</v>
      </c>
      <c r="N77" s="57">
        <f ca="1">(N76-O76)*(1+'Retirement Planning'!$J$23/12)</f>
        <v>0</v>
      </c>
      <c r="O77" s="59">
        <f ca="1">IF(B77&gt;59.5,MAX(0,MIN((AA77+$Y77+$AJ77)*(IF(D77&lt;(MIN(E65:E76)+1),1,'Retirement Planning'!$J$44))-M77-$G77-$X77-(IF(D77&lt;(MIN(E65:E76)+1),D77,0)),N77)),0)</f>
        <v>0</v>
      </c>
      <c r="P77" s="57">
        <f t="shared" si="40"/>
        <v>530.66666666665253</v>
      </c>
      <c r="Q77" s="58">
        <f t="shared" si="41"/>
        <v>530.66666666665253</v>
      </c>
      <c r="R77" s="57">
        <f ca="1">(R76-S76-T76)*(1+'Retirement Planning'!$J$23/12)</f>
        <v>241520.34501466888</v>
      </c>
      <c r="S77" s="58">
        <f t="shared" ca="1" si="42"/>
        <v>358.33333333333337</v>
      </c>
      <c r="T77" s="273">
        <f t="shared" ca="1" si="29"/>
        <v>-2.2737367544323206E-13</v>
      </c>
      <c r="U77" s="57">
        <f ca="1">(U76-V76)*(1+'Retirement Planning'!$J$23/12)</f>
        <v>210008.78845855701</v>
      </c>
      <c r="V77" s="24">
        <f ca="1">IF(AND($B$10&lt;55,B77&lt;59.5),MIN(U77,MAX(0,(Y77+AA77+AJ77-G77)*'Retirement Planning'!$J$45)),IF(B77&lt;59.5,(MIN(U77,MAX(0,((Y77+AA77+AJ77)-G77-M77)*'Retirement Planning'!$J$45))),MIN(U77,MAX(0,(Y77+AA77+AJ77-G77-M77-K77-X77)*'Retirement Planning'!$J$45))))</f>
        <v>646.31672649150073</v>
      </c>
      <c r="W77" s="7">
        <f t="shared" ca="1" si="30"/>
        <v>1790717.4115255794</v>
      </c>
      <c r="X77" s="7">
        <f>(IF(B77&gt;'Retirement Planning'!$J$34,IF('Retirement Planning'!$J$34=70,'Retirement Planning'!$J$37/12,IF('Retirement Planning'!$J$34=67,'Retirement Planning'!$J$36/12,'Retirement Planning'!$J$35/12)),0))*'Retirement Planning'!$J$38</f>
        <v>0</v>
      </c>
      <c r="Y77" s="7">
        <f ca="1">'Retirement Planning'!$F$35*((1+'Retirement Planning'!$J$24)^(YEAR('Projected Retirement Drawdown'!C77)-YEAR(TODAY())))</f>
        <v>6165.9069688167056</v>
      </c>
      <c r="Z77" s="7">
        <f ca="1">G77+M77+O77+0.85*X77+V77*'Retirement Planning'!$J$46+T77</f>
        <v>6345.3660583588371</v>
      </c>
      <c r="AA77" s="7">
        <f ca="1">IF(MONTH(C77)=1,(((MIN(MAX(0,((SUM(Z65:Z76)-'Retirement Planning'!$I$53-'Retirement Planning'!$I$54)-'Retirement Planning'!$J$51)*'Retirement Planning'!$I$52))))+(MIN(MAX(0,((SUM(Z65:Z76)-'Retirement Planning'!$I$53-'Retirement Planning'!$I$54)-'Retirement Planning'!$J$50)*'Retirement Planning'!$I$51),('Retirement Planning'!$J$51-'Retirement Planning'!$J$50)*'Retirement Planning'!$I$51))+(MIN(MAX(0,((SUM(Z65:Z76)-'Retirement Planning'!$I$53-'Retirement Planning'!$I$54)-'Retirement Planning'!$J$49)*'Retirement Planning'!$I$50),('Retirement Planning'!$J$50-'Retirement Planning'!$J$49)*'Retirement Planning'!$I$50)+MIN(MAX(0,((SUM(Z65:Z76)-'Retirement Planning'!$I$53-'Retirement Planning'!$I$54)-'Retirement Planning'!$J$48)*'Retirement Planning'!$I$49),('Retirement Planning'!$J$49-'Retirement Planning'!$J$48)*'Retirement Planning'!$I$49)+MIN(((SUM(Z65:Z76)-'Retirement Planning'!$I$53-'Retirement Planning'!$I$54))*'Retirement Planning'!$I$48,('Retirement Planning'!$J$48)*'Retirement Planning'!$I$48))+(IF((SUM(Z65:Z76)-'Retirement Planning'!$I$54-'Retirement Planning'!$I$61)&gt;'Retirement Planning'!$J$59,(SUM(Z65:Z76)-'Retirement Planning'!$I$54-'Retirement Planning'!$I$61-'Retirement Planning'!$J$59)*'Retirement Planning'!$I$60+'Retirement Planning'!$K$59,IF((SUM(Z65:Z76)-'Retirement Planning'!$I$54-'Retirement Planning'!$I$61)&gt;'Retirement Planning'!$J$58,(SUM(Z65:Z76)-'Retirement Planning'!$I$54-'Retirement Planning'!$I$61-'Retirement Planning'!$J$58)*'Retirement Planning'!$I$59+'Retirement Planning'!$K$58,IF((SUM(Z65:Z76)-'Retirement Planning'!$I$54-'Retirement Planning'!$I$61)&gt;'Retirement Planning'!$J$57,(SUM(Z65:Z76)-'Retirement Planning'!$I$54-'Retirement Planning'!$I$61-'Retirement Planning'!$J$57)*'Retirement Planning'!$I$58+'Retirement Planning'!$K$57,IF((SUM(Z65:Z76)-'Retirement Planning'!$I$54-'Retirement Planning'!$I$61)&gt;'Retirement Planning'!$J$56,(SUM(Z65:Z76)-'Retirement Planning'!$I$54-'Retirement Planning'!$I$61-'Retirement Planning'!$J$56)*'Retirement Planning'!$I$57+'Retirement Planning'!$K$56,(SUM(Z65:Z76)-'Retirement Planning'!$I$54-'Retirement Planning'!$I$61)*'Retirement Planning'!$I$56))))))/12,AA76)</f>
        <v>1118.3545852431707</v>
      </c>
      <c r="AB77" s="104">
        <f t="shared" ca="1" si="21"/>
        <v>0.18593207814953319</v>
      </c>
      <c r="AC77" s="7">
        <f>IF(B77&lt;65,'Retirement Planning'!$J$28,0)</f>
        <v>583</v>
      </c>
      <c r="AD77" s="7">
        <f>IF(B77&lt;65,'Retirement Planning'!$J$29/12,0)</f>
        <v>291.66666666666669</v>
      </c>
      <c r="AE77" s="22">
        <f>'Retirement Planning'!$J$31/12</f>
        <v>58.333333333333336</v>
      </c>
      <c r="AF77" s="22">
        <f>'Retirement Planning'!$J$32/12</f>
        <v>66.666666666666671</v>
      </c>
      <c r="AG77" s="7">
        <f>IF($B77&gt;64.9,'Retirement Planning'!$J$39/12,0)</f>
        <v>0</v>
      </c>
      <c r="AH77" s="7">
        <f>IF($B77&gt;64.9,'Retirement Planning'!$J$40/12,0)</f>
        <v>0</v>
      </c>
      <c r="AI77" s="7">
        <f>IF($B77&gt;64.9,'Retirement Planning'!$J$41/12,0)</f>
        <v>0</v>
      </c>
      <c r="AJ77" s="7">
        <f t="shared" ca="1" si="31"/>
        <v>110.66666666668084</v>
      </c>
      <c r="AK77" s="3" t="str">
        <f t="shared" ca="1" si="32"/>
        <v>N/A</v>
      </c>
      <c r="AL77" s="6" t="str">
        <f t="shared" ca="1" si="33"/>
        <v>N/A</v>
      </c>
      <c r="AM77" s="7">
        <f t="shared" ca="1" si="34"/>
        <v>4.5474735088646412E-13</v>
      </c>
      <c r="AN77" s="7">
        <f t="shared" ca="1" si="35"/>
        <v>8283.9282207265423</v>
      </c>
      <c r="AO77" s="7">
        <f t="shared" si="36"/>
        <v>999.66666666666674</v>
      </c>
    </row>
    <row r="78" spans="1:41" x14ac:dyDescent="0.2">
      <c r="A78">
        <f t="shared" si="37"/>
        <v>50</v>
      </c>
      <c r="B78" s="5">
        <f t="shared" si="38"/>
        <v>62</v>
      </c>
      <c r="C78" s="56">
        <f t="shared" si="39"/>
        <v>48488</v>
      </c>
      <c r="D78" s="57">
        <f ca="1">IF(AND(B77&lt;59.5,OR(B78&gt;59.5,B78=59.5)),(D77-E77+J77-K77)*(1+'Retirement Planning'!$J$23/12),(D77-E77)*(1+'Retirement Planning'!$J$23/12))</f>
        <v>252231.49081259521</v>
      </c>
      <c r="E78" s="58">
        <f t="shared" ca="1" si="26"/>
        <v>813.16603544654299</v>
      </c>
      <c r="F78" s="57">
        <f ca="1">IF(AND(OR(B78&gt;59.5,B78=59.5),B77&lt;59.5),(F77-G77+L77-M77+N77-O77)*(1+'Retirement Planning'!$J$23/12),(F77-G77)*(1+'Retirement Planning'!$J$23/12))</f>
        <v>1089111.8644947542</v>
      </c>
      <c r="G78" s="58">
        <f ca="1">IF(AND($B$10&lt;55,B78&lt;59.5),'Retirement Planning'!$J$25,IF(OR(B78&gt;59.5,B78=59.5),MAX(0,MIN(F78,IF(D78&lt;2500,((Y78+AJ78+AA78))-X78,((Y78+AJ78+AA78)*'Retirement Planning'!$J$44)-X78))),0))</f>
        <v>6419.7318587885002</v>
      </c>
      <c r="H78" s="255">
        <f ca="1">IF(MONTH(C78)=1,IF(B78&gt;69.5,F78/(INDEX('Retirement Planning'!D$1:D$264,(160+INT(B78))))/12,0),IF(F78=0,0,H77))</f>
        <v>0</v>
      </c>
      <c r="I78" s="262">
        <f t="shared" ca="1" si="27"/>
        <v>0</v>
      </c>
      <c r="J78" s="254">
        <f ca="1">IF(AND(B77&lt;59.5,OR(B78=59.5,B78&gt;59.5)),0,(J77-K77)*(1+'Retirement Planning'!$J$23/12))</f>
        <v>0</v>
      </c>
      <c r="K78" s="58">
        <f t="shared" ca="1" si="28"/>
        <v>0</v>
      </c>
      <c r="L78" s="57">
        <f>IF(AND(OR(B78&gt;59.5,B78=59.5),B77&lt;59.5),0,(L77-M77)*(1+'Retirement Planning'!$J$23/12))</f>
        <v>0</v>
      </c>
      <c r="M78" s="59">
        <f>IF(AND($B$10&lt;55,B78&lt;59.5),0,IF(B78&lt;59.5,MAX(0,MIN((($Y78+$AJ78+AA78)*'Retirement Planning'!$J$44)-$G78-$X78,L78)),0))</f>
        <v>0</v>
      </c>
      <c r="N78" s="57">
        <f ca="1">(N77-O77)*(1+'Retirement Planning'!$J$23/12)</f>
        <v>0</v>
      </c>
      <c r="O78" s="59">
        <f ca="1">IF(B78&gt;59.5,MAX(0,MIN((AA78+$Y78+$AJ78)*(IF(D78&lt;(MIN(E66:E77)+1),1,'Retirement Planning'!$J$44))-M78-$G78-$X78-(IF(D78&lt;(MIN(E66:E77)+1),D78,0)),N78)),0)</f>
        <v>0</v>
      </c>
      <c r="P78" s="57">
        <f t="shared" si="40"/>
        <v>0</v>
      </c>
      <c r="Q78" s="58">
        <f t="shared" si="41"/>
        <v>0</v>
      </c>
      <c r="R78" s="57">
        <f ca="1">(R77-S77-T77)*(1+'Retirement Planning'!$J$23/12)</f>
        <v>242870.24259741168</v>
      </c>
      <c r="S78" s="58">
        <f t="shared" ca="1" si="42"/>
        <v>358.33333333333337</v>
      </c>
      <c r="T78" s="273">
        <f t="shared" ca="1" si="29"/>
        <v>-4.5474735088646412E-13</v>
      </c>
      <c r="U78" s="57">
        <f ca="1">(U77-V77)*(1+'Retirement Planning'!$J$23/12)</f>
        <v>210845.45590683431</v>
      </c>
      <c r="V78" s="24">
        <f ca="1">IF(AND($B$10&lt;55,B78&lt;59.5),MIN(U78,MAX(0,(Y78+AA78+AJ78-G78)*'Retirement Planning'!$J$45)),IF(B78&lt;59.5,(MIN(U78,MAX(0,((Y78+AA78+AJ78)-G78-M78)*'Retirement Planning'!$J$45))),MIN(U78,MAX(0,(Y78+AA78+AJ78-G78-M78-K78-X78)*'Retirement Planning'!$J$45))))</f>
        <v>692.69699315816626</v>
      </c>
      <c r="W78" s="7">
        <f t="shared" ca="1" si="30"/>
        <v>1795059.0538115953</v>
      </c>
      <c r="X78" s="7">
        <f>(IF(B78&gt;'Retirement Planning'!$J$34,IF('Retirement Planning'!$J$34=70,'Retirement Planning'!$J$37/12,IF('Retirement Planning'!$J$34=67,'Retirement Planning'!$J$36/12,'Retirement Planning'!$J$35/12)),0))*'Retirement Planning'!$J$38</f>
        <v>0</v>
      </c>
      <c r="Y78" s="7">
        <f ca="1">'Retirement Planning'!$F$35*((1+'Retirement Planning'!$J$24)^(YEAR('Projected Retirement Drawdown'!C78)-YEAR(TODAY())))</f>
        <v>6165.9069688167056</v>
      </c>
      <c r="Z78" s="7">
        <f ca="1">G78+M78+O78+0.85*X78+V78*'Retirement Planning'!$J$46+T78</f>
        <v>6800.7152050254917</v>
      </c>
      <c r="AA78" s="7">
        <f ca="1">IF(MONTH(C78)=1,(((MIN(MAX(0,((SUM(Z66:Z77)-'Retirement Planning'!$I$53-'Retirement Planning'!$I$54)-'Retirement Planning'!$J$51)*'Retirement Planning'!$I$52))))+(MIN(MAX(0,((SUM(Z66:Z77)-'Retirement Planning'!$I$53-'Retirement Planning'!$I$54)-'Retirement Planning'!$J$50)*'Retirement Planning'!$I$51),('Retirement Planning'!$J$51-'Retirement Planning'!$J$50)*'Retirement Planning'!$I$51))+(MIN(MAX(0,((SUM(Z66:Z77)-'Retirement Planning'!$I$53-'Retirement Planning'!$I$54)-'Retirement Planning'!$J$49)*'Retirement Planning'!$I$50),('Retirement Planning'!$J$50-'Retirement Planning'!$J$49)*'Retirement Planning'!$I$50)+MIN(MAX(0,((SUM(Z66:Z77)-'Retirement Planning'!$I$53-'Retirement Planning'!$I$54)-'Retirement Planning'!$J$48)*'Retirement Planning'!$I$49),('Retirement Planning'!$J$49-'Retirement Planning'!$J$48)*'Retirement Planning'!$I$49)+MIN(((SUM(Z66:Z77)-'Retirement Planning'!$I$53-'Retirement Planning'!$I$54))*'Retirement Planning'!$I$48,('Retirement Planning'!$J$48)*'Retirement Planning'!$I$48))+(IF((SUM(Z66:Z77)-'Retirement Planning'!$I$54-'Retirement Planning'!$I$61)&gt;'Retirement Planning'!$J$59,(SUM(Z66:Z77)-'Retirement Planning'!$I$54-'Retirement Planning'!$I$61-'Retirement Planning'!$J$59)*'Retirement Planning'!$I$60+'Retirement Planning'!$K$59,IF((SUM(Z66:Z77)-'Retirement Planning'!$I$54-'Retirement Planning'!$I$61)&gt;'Retirement Planning'!$J$58,(SUM(Z66:Z77)-'Retirement Planning'!$I$54-'Retirement Planning'!$I$61-'Retirement Planning'!$J$58)*'Retirement Planning'!$I$59+'Retirement Planning'!$K$58,IF((SUM(Z66:Z77)-'Retirement Planning'!$I$54-'Retirement Planning'!$I$61)&gt;'Retirement Planning'!$J$57,(SUM(Z66:Z77)-'Retirement Planning'!$I$54-'Retirement Planning'!$I$61-'Retirement Planning'!$J$57)*'Retirement Planning'!$I$58+'Retirement Planning'!$K$57,IF((SUM(Z66:Z77)-'Retirement Planning'!$I$54-'Retirement Planning'!$I$61)&gt;'Retirement Planning'!$J$56,(SUM(Z66:Z77)-'Retirement Planning'!$I$54-'Retirement Planning'!$I$61-'Retirement Planning'!$J$56)*'Retirement Planning'!$I$57+'Retirement Planning'!$K$56,(SUM(Z66:Z77)-'Retirement Planning'!$I$54-'Retirement Planning'!$I$61)*'Retirement Planning'!$I$56))))))/12,AA77)</f>
        <v>1118.3545852431707</v>
      </c>
      <c r="AB78" s="104">
        <f t="shared" ca="1" si="21"/>
        <v>0.18593207814953319</v>
      </c>
      <c r="AC78" s="7">
        <f>IF(B78&lt;65,'Retirement Planning'!$J$28,0)</f>
        <v>583</v>
      </c>
      <c r="AD78" s="7">
        <f>IF(B78&lt;65,'Retirement Planning'!$J$29/12,0)</f>
        <v>291.66666666666669</v>
      </c>
      <c r="AE78" s="22">
        <f>'Retirement Planning'!$J$31/12</f>
        <v>58.333333333333336</v>
      </c>
      <c r="AF78" s="22">
        <f>'Retirement Planning'!$J$32/12</f>
        <v>66.666666666666671</v>
      </c>
      <c r="AG78" s="7">
        <f>IF($B78&gt;64.9,'Retirement Planning'!$J$39/12,0)</f>
        <v>0</v>
      </c>
      <c r="AH78" s="7">
        <f>IF($B78&gt;64.9,'Retirement Planning'!$J$40/12,0)</f>
        <v>0</v>
      </c>
      <c r="AI78" s="7">
        <f>IF($B78&gt;64.9,'Retirement Planning'!$J$41/12,0)</f>
        <v>0</v>
      </c>
      <c r="AJ78" s="7">
        <f t="shared" ca="1" si="31"/>
        <v>641.33333333333337</v>
      </c>
      <c r="AK78" s="3" t="str">
        <f t="shared" ca="1" si="32"/>
        <v>N/A</v>
      </c>
      <c r="AL78" s="6" t="str">
        <f t="shared" ca="1" si="33"/>
        <v>N/A</v>
      </c>
      <c r="AM78" s="7">
        <f t="shared" ca="1" si="34"/>
        <v>3.4106051316484809E-13</v>
      </c>
      <c r="AN78" s="7">
        <f t="shared" ca="1" si="35"/>
        <v>8283.9282207265423</v>
      </c>
      <c r="AO78" s="7">
        <f t="shared" si="36"/>
        <v>999.66666666666674</v>
      </c>
    </row>
    <row r="79" spans="1:41" x14ac:dyDescent="0.2">
      <c r="A79">
        <f t="shared" si="37"/>
        <v>50</v>
      </c>
      <c r="B79" s="5">
        <f t="shared" si="38"/>
        <v>62</v>
      </c>
      <c r="C79" s="56">
        <f t="shared" si="39"/>
        <v>48519</v>
      </c>
      <c r="D79" s="57">
        <f ca="1">IF(AND(B78&lt;59.5,OR(B79&gt;59.5,B79=59.5)),(D78-E78+J78-K78)*(1+'Retirement Planning'!$J$23/12),(D78-E78)*(1+'Retirement Planning'!$J$23/12))</f>
        <v>253199.20457765347</v>
      </c>
      <c r="E79" s="58">
        <f t="shared" ca="1" si="26"/>
        <v>813.16603544654299</v>
      </c>
      <c r="F79" s="57">
        <f ca="1">IF(AND(OR(B79&gt;59.5,B79=59.5),B78&lt;59.5),(F78-G78+L78-M78+N78-O78)*(1+'Retirement Planning'!$J$23/12),(F78-G78)*(1+'Retirement Planning'!$J$23/12))</f>
        <v>1090361.2019088038</v>
      </c>
      <c r="G79" s="58">
        <f ca="1">IF(AND($B$10&lt;55,B79&lt;59.5),'Retirement Planning'!$J$25,IF(OR(B79&gt;59.5,B79=59.5),MAX(0,MIN(F79,IF(D79&lt;2500,((Y79+AJ79+AA79))-X79,((Y79+AJ79+AA79)*'Retirement Planning'!$J$44)-X79))),0))</f>
        <v>6419.7318587885002</v>
      </c>
      <c r="H79" s="255">
        <f ca="1">IF(MONTH(C79)=1,IF(B79&gt;69.5,F79/(INDEX('Retirement Planning'!D$1:D$264,(160+INT(B79))))/12,0),IF(F79=0,0,H78))</f>
        <v>0</v>
      </c>
      <c r="I79" s="262">
        <f t="shared" ca="1" si="27"/>
        <v>0</v>
      </c>
      <c r="J79" s="254">
        <f ca="1">IF(AND(B78&lt;59.5,OR(B79=59.5,B79&gt;59.5)),0,(J78-K78)*(1+'Retirement Planning'!$J$23/12))</f>
        <v>0</v>
      </c>
      <c r="K79" s="58">
        <f t="shared" ca="1" si="28"/>
        <v>0</v>
      </c>
      <c r="L79" s="57">
        <f>IF(AND(OR(B79&gt;59.5,B79=59.5),B78&lt;59.5),0,(L78-M78)*(1+'Retirement Planning'!$J$23/12))</f>
        <v>0</v>
      </c>
      <c r="M79" s="59">
        <f>IF(AND($B$10&lt;55,B79&lt;59.5),0,IF(B79&lt;59.5,MAX(0,MIN((($Y79+$AJ79+AA79)*'Retirement Planning'!$J$44)-$G79-$X79,L79)),0))</f>
        <v>0</v>
      </c>
      <c r="N79" s="57">
        <f ca="1">(N78-O78)*(1+'Retirement Planning'!$J$23/12)</f>
        <v>0</v>
      </c>
      <c r="O79" s="59">
        <f ca="1">IF(B79&gt;59.5,MAX(0,MIN((AA79+$Y79+$AJ79)*(IF(D79&lt;(MIN(E67:E78)+1),1,'Retirement Planning'!$J$44))-M79-$G79-$X79-(IF(D79&lt;(MIN(E67:E78)+1),D79,0)),N79)),0)</f>
        <v>0</v>
      </c>
      <c r="P79" s="57">
        <f t="shared" si="40"/>
        <v>0</v>
      </c>
      <c r="Q79" s="58">
        <f t="shared" si="41"/>
        <v>0</v>
      </c>
      <c r="R79" s="57">
        <f ca="1">(R78-S78-T78)*(1+'Retirement Planning'!$J$23/12)</f>
        <v>244229.70195469889</v>
      </c>
      <c r="S79" s="58">
        <f t="shared" ca="1" si="42"/>
        <v>358.33333333333337</v>
      </c>
      <c r="T79" s="273">
        <f t="shared" ca="1" si="29"/>
        <v>-4.5474735088646412E-13</v>
      </c>
      <c r="U79" s="57">
        <f ca="1">(U78-V78)*(1+'Retirement Planning'!$J$23/12)</f>
        <v>211641.34095598134</v>
      </c>
      <c r="V79" s="24">
        <f ca="1">IF(AND($B$10&lt;55,B79&lt;59.5),MIN(U79,MAX(0,(Y79+AA79+AJ79-G79)*'Retirement Planning'!$J$45)),IF(B79&lt;59.5,(MIN(U79,MAX(0,((Y79+AA79+AJ79)-G79-M79)*'Retirement Planning'!$J$45))),MIN(U79,MAX(0,(Y79+AA79+AJ79-G79-M79-K79-X79)*'Retirement Planning'!$J$45))))</f>
        <v>692.69699315816626</v>
      </c>
      <c r="W79" s="7">
        <f t="shared" ca="1" si="30"/>
        <v>1799431.4493971374</v>
      </c>
      <c r="X79" s="7">
        <f>(IF(B79&gt;'Retirement Planning'!$J$34,IF('Retirement Planning'!$J$34=70,'Retirement Planning'!$J$37/12,IF('Retirement Planning'!$J$34=67,'Retirement Planning'!$J$36/12,'Retirement Planning'!$J$35/12)),0))*'Retirement Planning'!$J$38</f>
        <v>0</v>
      </c>
      <c r="Y79" s="7">
        <f ca="1">'Retirement Planning'!$F$35*((1+'Retirement Planning'!$J$24)^(YEAR('Projected Retirement Drawdown'!C79)-YEAR(TODAY())))</f>
        <v>6165.9069688167056</v>
      </c>
      <c r="Z79" s="7">
        <f ca="1">G79+M79+O79+0.85*X79+V79*'Retirement Planning'!$J$46+T79</f>
        <v>6800.7152050254917</v>
      </c>
      <c r="AA79" s="7">
        <f ca="1">IF(MONTH(C79)=1,(((MIN(MAX(0,((SUM(Z67:Z78)-'Retirement Planning'!$I$53-'Retirement Planning'!$I$54)-'Retirement Planning'!$J$51)*'Retirement Planning'!$I$52))))+(MIN(MAX(0,((SUM(Z67:Z78)-'Retirement Planning'!$I$53-'Retirement Planning'!$I$54)-'Retirement Planning'!$J$50)*'Retirement Planning'!$I$51),('Retirement Planning'!$J$51-'Retirement Planning'!$J$50)*'Retirement Planning'!$I$51))+(MIN(MAX(0,((SUM(Z67:Z78)-'Retirement Planning'!$I$53-'Retirement Planning'!$I$54)-'Retirement Planning'!$J$49)*'Retirement Planning'!$I$50),('Retirement Planning'!$J$50-'Retirement Planning'!$J$49)*'Retirement Planning'!$I$50)+MIN(MAX(0,((SUM(Z67:Z78)-'Retirement Planning'!$I$53-'Retirement Planning'!$I$54)-'Retirement Planning'!$J$48)*'Retirement Planning'!$I$49),('Retirement Planning'!$J$49-'Retirement Planning'!$J$48)*'Retirement Planning'!$I$49)+MIN(((SUM(Z67:Z78)-'Retirement Planning'!$I$53-'Retirement Planning'!$I$54))*'Retirement Planning'!$I$48,('Retirement Planning'!$J$48)*'Retirement Planning'!$I$48))+(IF((SUM(Z67:Z78)-'Retirement Planning'!$I$54-'Retirement Planning'!$I$61)&gt;'Retirement Planning'!$J$59,(SUM(Z67:Z78)-'Retirement Planning'!$I$54-'Retirement Planning'!$I$61-'Retirement Planning'!$J$59)*'Retirement Planning'!$I$60+'Retirement Planning'!$K$59,IF((SUM(Z67:Z78)-'Retirement Planning'!$I$54-'Retirement Planning'!$I$61)&gt;'Retirement Planning'!$J$58,(SUM(Z67:Z78)-'Retirement Planning'!$I$54-'Retirement Planning'!$I$61-'Retirement Planning'!$J$58)*'Retirement Planning'!$I$59+'Retirement Planning'!$K$58,IF((SUM(Z67:Z78)-'Retirement Planning'!$I$54-'Retirement Planning'!$I$61)&gt;'Retirement Planning'!$J$57,(SUM(Z67:Z78)-'Retirement Planning'!$I$54-'Retirement Planning'!$I$61-'Retirement Planning'!$J$57)*'Retirement Planning'!$I$58+'Retirement Planning'!$K$57,IF((SUM(Z67:Z78)-'Retirement Planning'!$I$54-'Retirement Planning'!$I$61)&gt;'Retirement Planning'!$J$56,(SUM(Z67:Z78)-'Retirement Planning'!$I$54-'Retirement Planning'!$I$61-'Retirement Planning'!$J$56)*'Retirement Planning'!$I$57+'Retirement Planning'!$K$56,(SUM(Z67:Z78)-'Retirement Planning'!$I$54-'Retirement Planning'!$I$61)*'Retirement Planning'!$I$56))))))/12,AA78)</f>
        <v>1118.3545852431707</v>
      </c>
      <c r="AB79" s="104">
        <f t="shared" ca="1" si="21"/>
        <v>0.18593207814953319</v>
      </c>
      <c r="AC79" s="7">
        <f>IF(B79&lt;65,'Retirement Planning'!$J$28,0)</f>
        <v>583</v>
      </c>
      <c r="AD79" s="7">
        <f>IF(B79&lt;65,'Retirement Planning'!$J$29/12,0)</f>
        <v>291.66666666666669</v>
      </c>
      <c r="AE79" s="22">
        <f>'Retirement Planning'!$J$31/12</f>
        <v>58.333333333333336</v>
      </c>
      <c r="AF79" s="22">
        <f>'Retirement Planning'!$J$32/12</f>
        <v>66.666666666666671</v>
      </c>
      <c r="AG79" s="7">
        <f>IF($B79&gt;64.9,'Retirement Planning'!$J$39/12,0)</f>
        <v>0</v>
      </c>
      <c r="AH79" s="7">
        <f>IF($B79&gt;64.9,'Retirement Planning'!$J$40/12,0)</f>
        <v>0</v>
      </c>
      <c r="AI79" s="7">
        <f>IF($B79&gt;64.9,'Retirement Planning'!$J$41/12,0)</f>
        <v>0</v>
      </c>
      <c r="AJ79" s="7">
        <f t="shared" ca="1" si="31"/>
        <v>641.33333333333337</v>
      </c>
      <c r="AK79" s="3" t="str">
        <f t="shared" ca="1" si="32"/>
        <v>N/A</v>
      </c>
      <c r="AL79" s="6" t="str">
        <f t="shared" ca="1" si="33"/>
        <v>N/A</v>
      </c>
      <c r="AM79" s="7">
        <f t="shared" ca="1" si="34"/>
        <v>3.4106051316484809E-13</v>
      </c>
      <c r="AN79" s="7">
        <f t="shared" ca="1" si="35"/>
        <v>8283.9282207265423</v>
      </c>
      <c r="AO79" s="7">
        <f t="shared" si="36"/>
        <v>999.66666666666674</v>
      </c>
    </row>
    <row r="80" spans="1:41" x14ac:dyDescent="0.2">
      <c r="A80">
        <f t="shared" si="37"/>
        <v>50</v>
      </c>
      <c r="B80" s="5">
        <f t="shared" si="38"/>
        <v>62.1</v>
      </c>
      <c r="C80" s="56">
        <f t="shared" si="39"/>
        <v>48549</v>
      </c>
      <c r="D80" s="57">
        <f ca="1">IF(AND(B79&lt;59.5,OR(B80&gt;59.5,B80=59.5)),(D79-E79+J79-K79)*(1+'Retirement Planning'!$J$23/12),(D79-E79)*(1+'Retirement Planning'!$J$23/12))</f>
        <v>254173.7729818809</v>
      </c>
      <c r="E80" s="58">
        <f t="shared" ca="1" si="26"/>
        <v>813.16603544654299</v>
      </c>
      <c r="F80" s="57">
        <f ca="1">IF(AND(OR(B80&gt;59.5,B80=59.5),B79&lt;59.5),(F79-G79+L79-M79+N79-O79)*(1+'Retirement Planning'!$J$23/12),(F79-G79)*(1+'Retirement Planning'!$J$23/12))</f>
        <v>1091619.3887962028</v>
      </c>
      <c r="G80" s="58">
        <f ca="1">IF(AND($B$10&lt;55,B80&lt;59.5),'Retirement Planning'!$J$25,IF(OR(B80&gt;59.5,B80=59.5),MAX(0,MIN(F80,IF(D80&lt;2500,((Y80+AJ80+AA80))-X80,((Y80+AJ80+AA80)*'Retirement Planning'!$J$44)-X80))),0))</f>
        <v>5206.1318587884998</v>
      </c>
      <c r="H80" s="255">
        <f ca="1">IF(MONTH(C80)=1,IF(B80&gt;69.5,F80/(INDEX('Retirement Planning'!D$1:D$264,(160+INT(B80))))/12,0),IF(F80=0,0,H79))</f>
        <v>0</v>
      </c>
      <c r="I80" s="262">
        <f t="shared" ca="1" si="27"/>
        <v>0</v>
      </c>
      <c r="J80" s="254">
        <f ca="1">IF(AND(B79&lt;59.5,OR(B80=59.5,B80&gt;59.5)),0,(J79-K79)*(1+'Retirement Planning'!$J$23/12))</f>
        <v>0</v>
      </c>
      <c r="K80" s="58">
        <f t="shared" ca="1" si="28"/>
        <v>0</v>
      </c>
      <c r="L80" s="57">
        <f>IF(AND(OR(B80&gt;59.5,B80=59.5),B79&lt;59.5),0,(L79-M79)*(1+'Retirement Planning'!$J$23/12))</f>
        <v>0</v>
      </c>
      <c r="M80" s="59">
        <f>IF(AND($B$10&lt;55,B80&lt;59.5),0,IF(B80&lt;59.5,MAX(0,MIN((($Y80+$AJ80+AA80)*'Retirement Planning'!$J$44)-$G80-$X80,L80)),0))</f>
        <v>0</v>
      </c>
      <c r="N80" s="57">
        <f ca="1">(N79-O79)*(1+'Retirement Planning'!$J$23/12)</f>
        <v>0</v>
      </c>
      <c r="O80" s="59">
        <f ca="1">IF(B80&gt;59.5,MAX(0,MIN((AA80+$Y80+$AJ80)*(IF(D80&lt;(MIN(E68:E79)+1),1,'Retirement Planning'!$J$44))-M80-$G80-$X80-(IF(D80&lt;(MIN(E68:E79)+1),D80,0)),N80)),0)</f>
        <v>0</v>
      </c>
      <c r="P80" s="57">
        <f t="shared" si="40"/>
        <v>0</v>
      </c>
      <c r="Q80" s="58">
        <f t="shared" si="41"/>
        <v>0</v>
      </c>
      <c r="R80" s="57">
        <f ca="1">(R79-S79-T79)*(1+'Retirement Planning'!$J$23/12)</f>
        <v>245598.79081576687</v>
      </c>
      <c r="S80" s="58">
        <f t="shared" ca="1" si="42"/>
        <v>358.33333333333337</v>
      </c>
      <c r="T80" s="273">
        <f t="shared" ca="1" si="29"/>
        <v>-4.5474735088646412E-13</v>
      </c>
      <c r="U80" s="57">
        <f ca="1">(U79-V79)*(1+'Retirement Planning'!$J$23/12)</f>
        <v>212442.8635242265</v>
      </c>
      <c r="V80" s="24">
        <f ca="1">IF(AND($B$10&lt;55,B80&lt;59.5),MIN(U80,MAX(0,(Y80+AA80+AJ80-G80)*'Retirement Planning'!$J$45)),IF(B80&lt;59.5,(MIN(U80,MAX(0,((Y80+AA80+AJ80)-G80-M80)*'Retirement Planning'!$J$45))),MIN(U80,MAX(0,(Y80+AA80+AJ80-G80-M80-K80-X80)*'Retirement Planning'!$J$45))))</f>
        <v>692.69699315816638</v>
      </c>
      <c r="W80" s="7">
        <f t="shared" ca="1" si="30"/>
        <v>1803834.8161180771</v>
      </c>
      <c r="X80" s="7">
        <f>(IF(B80&gt;'Retirement Planning'!$J$34,IF('Retirement Planning'!$J$34=70,'Retirement Planning'!$J$37/12,IF('Retirement Planning'!$J$34=67,'Retirement Planning'!$J$36/12,'Retirement Planning'!$J$35/12)),0))*'Retirement Planning'!$J$38</f>
        <v>1213.6000000000001</v>
      </c>
      <c r="Y80" s="7">
        <f ca="1">'Retirement Planning'!$F$35*((1+'Retirement Planning'!$J$24)^(YEAR('Projected Retirement Drawdown'!C80)-YEAR(TODAY())))</f>
        <v>6165.9069688167056</v>
      </c>
      <c r="Z80" s="7">
        <f ca="1">G80+M80+O80+0.85*X80+V80*'Retirement Planning'!$J$46+T80</f>
        <v>6618.6752050254909</v>
      </c>
      <c r="AA80" s="7">
        <f ca="1">IF(MONTH(C80)=1,(((MIN(MAX(0,((SUM(Z68:Z79)-'Retirement Planning'!$I$53-'Retirement Planning'!$I$54)-'Retirement Planning'!$J$51)*'Retirement Planning'!$I$52))))+(MIN(MAX(0,((SUM(Z68:Z79)-'Retirement Planning'!$I$53-'Retirement Planning'!$I$54)-'Retirement Planning'!$J$50)*'Retirement Planning'!$I$51),('Retirement Planning'!$J$51-'Retirement Planning'!$J$50)*'Retirement Planning'!$I$51))+(MIN(MAX(0,((SUM(Z68:Z79)-'Retirement Planning'!$I$53-'Retirement Planning'!$I$54)-'Retirement Planning'!$J$49)*'Retirement Planning'!$I$50),('Retirement Planning'!$J$50-'Retirement Planning'!$J$49)*'Retirement Planning'!$I$50)+MIN(MAX(0,((SUM(Z68:Z79)-'Retirement Planning'!$I$53-'Retirement Planning'!$I$54)-'Retirement Planning'!$J$48)*'Retirement Planning'!$I$49),('Retirement Planning'!$J$49-'Retirement Planning'!$J$48)*'Retirement Planning'!$I$49)+MIN(((SUM(Z68:Z79)-'Retirement Planning'!$I$53-'Retirement Planning'!$I$54))*'Retirement Planning'!$I$48,('Retirement Planning'!$J$48)*'Retirement Planning'!$I$48))+(IF((SUM(Z68:Z79)-'Retirement Planning'!$I$54-'Retirement Planning'!$I$61)&gt;'Retirement Planning'!$J$59,(SUM(Z68:Z79)-'Retirement Planning'!$I$54-'Retirement Planning'!$I$61-'Retirement Planning'!$J$59)*'Retirement Planning'!$I$60+'Retirement Planning'!$K$59,IF((SUM(Z68:Z79)-'Retirement Planning'!$I$54-'Retirement Planning'!$I$61)&gt;'Retirement Planning'!$J$58,(SUM(Z68:Z79)-'Retirement Planning'!$I$54-'Retirement Planning'!$I$61-'Retirement Planning'!$J$58)*'Retirement Planning'!$I$59+'Retirement Planning'!$K$58,IF((SUM(Z68:Z79)-'Retirement Planning'!$I$54-'Retirement Planning'!$I$61)&gt;'Retirement Planning'!$J$57,(SUM(Z68:Z79)-'Retirement Planning'!$I$54-'Retirement Planning'!$I$61-'Retirement Planning'!$J$57)*'Retirement Planning'!$I$58+'Retirement Planning'!$K$57,IF((SUM(Z68:Z79)-'Retirement Planning'!$I$54-'Retirement Planning'!$I$61)&gt;'Retirement Planning'!$J$56,(SUM(Z68:Z79)-'Retirement Planning'!$I$54-'Retirement Planning'!$I$61-'Retirement Planning'!$J$56)*'Retirement Planning'!$I$57+'Retirement Planning'!$K$56,(SUM(Z68:Z79)-'Retirement Planning'!$I$54-'Retirement Planning'!$I$61)*'Retirement Planning'!$I$56))))))/12,AA79)</f>
        <v>1118.3545852431707</v>
      </c>
      <c r="AB80" s="104">
        <f t="shared" ca="1" si="21"/>
        <v>0.18593207814953319</v>
      </c>
      <c r="AC80" s="7">
        <f>IF(B80&lt;65,'Retirement Planning'!$J$28,0)</f>
        <v>583</v>
      </c>
      <c r="AD80" s="7">
        <f>IF(B80&lt;65,'Retirement Planning'!$J$29/12,0)</f>
        <v>291.66666666666669</v>
      </c>
      <c r="AE80" s="22">
        <f>'Retirement Planning'!$J$31/12</f>
        <v>58.333333333333336</v>
      </c>
      <c r="AF80" s="22">
        <f>'Retirement Planning'!$J$32/12</f>
        <v>66.666666666666671</v>
      </c>
      <c r="AG80" s="7">
        <f>IF($B80&gt;64.9,'Retirement Planning'!$J$39/12,0)</f>
        <v>0</v>
      </c>
      <c r="AH80" s="7">
        <f>IF($B80&gt;64.9,'Retirement Planning'!$J$40/12,0)</f>
        <v>0</v>
      </c>
      <c r="AI80" s="7">
        <f>IF($B80&gt;64.9,'Retirement Planning'!$J$41/12,0)</f>
        <v>0</v>
      </c>
      <c r="AJ80" s="7">
        <f t="shared" ca="1" si="31"/>
        <v>641.33333333333337</v>
      </c>
      <c r="AK80" s="3" t="str">
        <f t="shared" ca="1" si="32"/>
        <v>N/A</v>
      </c>
      <c r="AL80" s="6" t="str">
        <f t="shared" ca="1" si="33"/>
        <v>N/A</v>
      </c>
      <c r="AM80" s="7">
        <f t="shared" ca="1" si="34"/>
        <v>2.2737367544323206E-13</v>
      </c>
      <c r="AN80" s="7">
        <f t="shared" ca="1" si="35"/>
        <v>8283.9282207265423</v>
      </c>
      <c r="AO80" s="7">
        <f t="shared" si="36"/>
        <v>999.66666666666674</v>
      </c>
    </row>
    <row r="81" spans="1:41" x14ac:dyDescent="0.2">
      <c r="A81">
        <f t="shared" si="37"/>
        <v>50</v>
      </c>
      <c r="B81" s="5">
        <f t="shared" si="38"/>
        <v>62.2</v>
      </c>
      <c r="C81" s="56">
        <f t="shared" si="39"/>
        <v>48580</v>
      </c>
      <c r="D81" s="57">
        <f ca="1">IF(AND(B80&lt;59.5,OR(B81&gt;59.5,B81=59.5)),(D80-E80+J80-K80)*(1+'Retirement Planning'!$J$23/12),(D80-E80)*(1+'Retirement Planning'!$J$23/12))</f>
        <v>255155.24457897161</v>
      </c>
      <c r="E81" s="58">
        <f t="shared" ca="1" si="26"/>
        <v>846.28403521748987</v>
      </c>
      <c r="F81" s="57">
        <f ca="1">IF(AND(OR(B81&gt;59.5,B81=59.5),B80&lt;59.5),(F80-G80+L80-M80+N80-O80)*(1+'Retirement Planning'!$J$23/12),(F80-G80)*(1+'Retirement Planning'!$J$23/12))</f>
        <v>1094108.6841740545</v>
      </c>
      <c r="G81" s="58">
        <f ca="1">IF(AND($B$10&lt;55,B81&lt;59.5),'Retirement Planning'!$J$25,IF(OR(B81&gt;59.5,B81=59.5),MAX(0,MIN(F81,IF(D81&lt;2500,((Y81+AJ81+AA81))-X81,((Y81+AJ81+AA81)*'Retirement Planning'!$J$44)-X81))),0))</f>
        <v>5467.5897517170215</v>
      </c>
      <c r="H81" s="255">
        <f>IF(MONTH(C81)=1,IF(B81&gt;69.5,F81/(INDEX('Retirement Planning'!D$1:D$264,(160+INT(B81))))/12,0),IF(F81=0,0,H80))</f>
        <v>0</v>
      </c>
      <c r="I81" s="262">
        <f t="shared" ca="1" si="27"/>
        <v>0</v>
      </c>
      <c r="J81" s="254">
        <f ca="1">IF(AND(B80&lt;59.5,OR(B81=59.5,B81&gt;59.5)),0,(J80-K80)*(1+'Retirement Planning'!$J$23/12))</f>
        <v>0</v>
      </c>
      <c r="K81" s="58">
        <f t="shared" ca="1" si="28"/>
        <v>0</v>
      </c>
      <c r="L81" s="57">
        <f>IF(AND(OR(B81&gt;59.5,B81=59.5),B80&lt;59.5),0,(L80-M80)*(1+'Retirement Planning'!$J$23/12))</f>
        <v>0</v>
      </c>
      <c r="M81" s="59">
        <f>IF(AND($B$10&lt;55,B81&lt;59.5),0,IF(B81&lt;59.5,MAX(0,MIN((($Y81+$AJ81+AA81)*'Retirement Planning'!$J$44)-$G81-$X81,L81)),0))</f>
        <v>0</v>
      </c>
      <c r="N81" s="57">
        <f ca="1">(N80-O80)*(1+'Retirement Planning'!$J$23/12)</f>
        <v>0</v>
      </c>
      <c r="O81" s="59">
        <f ca="1">IF(B81&gt;59.5,MAX(0,MIN((AA81+$Y81+$AJ81)*(IF(D81&lt;(MIN(E69:E80)+1),1,'Retirement Planning'!$J$44))-M81-$G81-$X81-(IF(D81&lt;(MIN(E69:E80)+1),D81,0)),N81)),0)</f>
        <v>0</v>
      </c>
      <c r="P81" s="57">
        <f t="shared" si="40"/>
        <v>0</v>
      </c>
      <c r="Q81" s="58">
        <f t="shared" si="41"/>
        <v>0</v>
      </c>
      <c r="R81" s="57">
        <f ca="1">(R80-S80-T80)*(1+'Retirement Planning'!$J$23/12)</f>
        <v>246977.57738960077</v>
      </c>
      <c r="S81" s="58">
        <f t="shared" ca="1" si="42"/>
        <v>358.33333333333337</v>
      </c>
      <c r="T81" s="273">
        <f t="shared" ca="1" si="29"/>
        <v>-1.1368683772161603E-12</v>
      </c>
      <c r="U81" s="57">
        <f ca="1">(U80-V80)*(1+'Retirement Planning'!$J$23/12)</f>
        <v>213250.06354399674</v>
      </c>
      <c r="V81" s="24">
        <f ca="1">IF(AND($B$10&lt;55,B81&lt;59.5),MIN(U81,MAX(0,(Y81+AA81+AJ81-G81)*'Retirement Planning'!$J$45)),IF(B81&lt;59.5,(MIN(U81,MAX(0,((Y81+AA81+AJ81)-G81-M81)*'Retirement Planning'!$J$45))),MIN(U81,MAX(0,(Y81+AA81+AJ81-G81-M81-K81-X81)*'Retirement Planning'!$J$45))))</f>
        <v>720.90862259267681</v>
      </c>
      <c r="W81" s="7">
        <f t="shared" ca="1" si="30"/>
        <v>1809491.5696866235</v>
      </c>
      <c r="X81" s="7">
        <f>(IF(B81&gt;'Retirement Planning'!$J$34,IF('Retirement Planning'!$J$34=70,'Retirement Planning'!$J$37/12,IF('Retirement Planning'!$J$34=67,'Retirement Planning'!$J$36/12,'Retirement Planning'!$J$35/12)),0))*'Retirement Planning'!$J$38</f>
        <v>1213.6000000000001</v>
      </c>
      <c r="Y81" s="7">
        <f ca="1">'Retirement Planning'!$F$35*((1+'Retirement Planning'!$J$24)^(YEAR('Projected Retirement Drawdown'!C81)-YEAR(TODAY())))</f>
        <v>6381.713712725289</v>
      </c>
      <c r="Z81" s="7">
        <f ca="1">G81+M81+O81+0.85*X81+V81*'Retirement Planning'!$J$46+T81</f>
        <v>6895.6494941429928</v>
      </c>
      <c r="AA81" s="7">
        <f ca="1">IF(MONTH(C81)=1,(((MIN(MAX(0,((SUM(Z69:Z80)-'Retirement Planning'!$I$53-'Retirement Planning'!$I$54)-'Retirement Planning'!$J$51)*'Retirement Planning'!$I$52))))+(MIN(MAX(0,((SUM(Z69:Z80)-'Retirement Planning'!$I$53-'Retirement Planning'!$I$54)-'Retirement Planning'!$J$50)*'Retirement Planning'!$I$51),('Retirement Planning'!$J$51-'Retirement Planning'!$J$50)*'Retirement Planning'!$I$51))+(MIN(MAX(0,((SUM(Z69:Z80)-'Retirement Planning'!$I$53-'Retirement Planning'!$I$54)-'Retirement Planning'!$J$49)*'Retirement Planning'!$I$50),('Retirement Planning'!$J$50-'Retirement Planning'!$J$49)*'Retirement Planning'!$I$50)+MIN(MAX(0,((SUM(Z69:Z80)-'Retirement Planning'!$I$53-'Retirement Planning'!$I$54)-'Retirement Planning'!$J$48)*'Retirement Planning'!$I$49),('Retirement Planning'!$J$49-'Retirement Planning'!$J$48)*'Retirement Planning'!$I$49)+MIN(((SUM(Z69:Z80)-'Retirement Planning'!$I$53-'Retirement Planning'!$I$54))*'Retirement Planning'!$I$48,('Retirement Planning'!$J$48)*'Retirement Planning'!$I$48))+(IF((SUM(Z69:Z80)-'Retirement Planning'!$I$54-'Retirement Planning'!$I$61)&gt;'Retirement Planning'!$J$59,(SUM(Z69:Z80)-'Retirement Planning'!$I$54-'Retirement Planning'!$I$61-'Retirement Planning'!$J$59)*'Retirement Planning'!$I$60+'Retirement Planning'!$K$59,IF((SUM(Z69:Z80)-'Retirement Planning'!$I$54-'Retirement Planning'!$I$61)&gt;'Retirement Planning'!$J$58,(SUM(Z69:Z80)-'Retirement Planning'!$I$54-'Retirement Planning'!$I$61-'Retirement Planning'!$J$58)*'Retirement Planning'!$I$59+'Retirement Planning'!$K$58,IF((SUM(Z69:Z80)-'Retirement Planning'!$I$54-'Retirement Planning'!$I$61)&gt;'Retirement Planning'!$J$57,(SUM(Z69:Z80)-'Retirement Planning'!$I$54-'Retirement Planning'!$I$61-'Retirement Planning'!$J$57)*'Retirement Planning'!$I$58+'Retirement Planning'!$K$57,IF((SUM(Z69:Z80)-'Retirement Planning'!$I$54-'Retirement Planning'!$I$61)&gt;'Retirement Planning'!$J$56,(SUM(Z69:Z80)-'Retirement Planning'!$I$54-'Retirement Planning'!$I$61-'Retirement Planning'!$J$56)*'Retirement Planning'!$I$57+'Retirement Planning'!$K$56,(SUM(Z69:Z80)-'Retirement Planning'!$I$54-'Retirement Planning'!$I$61)*'Retirement Planning'!$I$56))))))/12,AA80)</f>
        <v>1225.3353634685652</v>
      </c>
      <c r="AB81" s="104">
        <f t="shared" ref="AB81" ca="1" si="43">SUM(AA81:AA92)/SUM(Z69:Z80)</f>
        <v>0.19203695641619659</v>
      </c>
      <c r="AC81" s="7">
        <f>IF(B81&lt;65,'Retirement Planning'!$J$28,0)</f>
        <v>583</v>
      </c>
      <c r="AD81" s="7">
        <f>IF(B81&lt;65,'Retirement Planning'!$J$29/12,0)</f>
        <v>291.66666666666669</v>
      </c>
      <c r="AE81" s="22">
        <f>'Retirement Planning'!$J$31/12</f>
        <v>58.333333333333336</v>
      </c>
      <c r="AF81" s="22">
        <f>'Retirement Planning'!$J$32/12</f>
        <v>66.666666666666671</v>
      </c>
      <c r="AG81" s="7">
        <f>IF($B81&gt;64.9,'Retirement Planning'!$J$39/12,0)</f>
        <v>0</v>
      </c>
      <c r="AH81" s="7">
        <f>IF($B81&gt;64.9,'Retirement Planning'!$J$40/12,0)</f>
        <v>0</v>
      </c>
      <c r="AI81" s="7">
        <f>IF($B81&gt;64.9,'Retirement Planning'!$J$41/12,0)</f>
        <v>0</v>
      </c>
      <c r="AJ81" s="7">
        <f t="shared" ca="1" si="31"/>
        <v>641.33333333333337</v>
      </c>
      <c r="AK81" s="3" t="str">
        <f t="shared" ca="1" si="32"/>
        <v>N/A</v>
      </c>
      <c r="AL81" s="6" t="str">
        <f t="shared" ca="1" si="33"/>
        <v>N/A</v>
      </c>
      <c r="AM81" s="7">
        <f t="shared" ca="1" si="34"/>
        <v>1.1368683772161603E-13</v>
      </c>
      <c r="AN81" s="7">
        <f t="shared" ca="1" si="35"/>
        <v>8606.7157428605205</v>
      </c>
      <c r="AO81" s="7">
        <f t="shared" si="36"/>
        <v>999.66666666666674</v>
      </c>
    </row>
    <row r="82" spans="1:41" x14ac:dyDescent="0.2">
      <c r="A82">
        <f t="shared" si="37"/>
        <v>50</v>
      </c>
      <c r="B82" s="5">
        <f t="shared" si="38"/>
        <v>62.3</v>
      </c>
      <c r="C82" s="56">
        <f t="shared" si="39"/>
        <v>48611</v>
      </c>
      <c r="D82" s="57">
        <f ca="1">IF(AND(B81&lt;59.5,OR(B82&gt;59.5,B82=59.5)),(D81-E81+J81-K81)*(1+'Retirement Planning'!$J$23/12),(D81-E81)*(1+'Retirement Planning'!$J$23/12))</f>
        <v>256110.31568093906</v>
      </c>
      <c r="E82" s="58">
        <f t="shared" ca="1" si="26"/>
        <v>846.28403521748987</v>
      </c>
      <c r="F82" s="57">
        <f ca="1">IF(AND(OR(B82&gt;59.5,B82=59.5),B81&lt;59.5),(F81-G81+L81-M81+N81-O81)*(1+'Retirement Planning'!$J$23/12),(F81-G81)*(1+'Retirement Planning'!$J$23/12))</f>
        <v>1096352.3021744958</v>
      </c>
      <c r="G82" s="58">
        <f ca="1">IF(AND($B$10&lt;55,B82&lt;59.5),'Retirement Planning'!$J$25,IF(OR(B82&gt;59.5,B82=59.5),MAX(0,MIN(F82,IF(D82&lt;2500,((Y82+AJ82+AA82))-X82,((Y82+AJ82+AA82)*'Retirement Planning'!$J$44)-X82))),0))</f>
        <v>5467.5897517170215</v>
      </c>
      <c r="H82" s="255">
        <f ca="1">IF(MONTH(C82)=1,IF(B82&gt;69.5,F82/(INDEX('Retirement Planning'!D$1:D$264,(160+INT(B82))))/12,0),IF(F82=0,0,H81))</f>
        <v>0</v>
      </c>
      <c r="I82" s="262">
        <f t="shared" ca="1" si="27"/>
        <v>0</v>
      </c>
      <c r="J82" s="254">
        <f ca="1">IF(AND(B81&lt;59.5,OR(B82=59.5,B82&gt;59.5)),0,(J81-K81)*(1+'Retirement Planning'!$J$23/12))</f>
        <v>0</v>
      </c>
      <c r="K82" s="58">
        <f t="shared" ca="1" si="28"/>
        <v>0</v>
      </c>
      <c r="L82" s="57">
        <f>IF(AND(OR(B82&gt;59.5,B82=59.5),B81&lt;59.5),0,(L81-M81)*(1+'Retirement Planning'!$J$23/12))</f>
        <v>0</v>
      </c>
      <c r="M82" s="59">
        <f>IF(AND($B$10&lt;55,B82&lt;59.5),0,IF(B82&lt;59.5,MAX(0,MIN((($Y82+$AJ82+AA82)*'Retirement Planning'!$J$44)-$G82-$X82,L82)),0))</f>
        <v>0</v>
      </c>
      <c r="N82" s="57">
        <f ca="1">(N81-O81)*(1+'Retirement Planning'!$J$23/12)</f>
        <v>0</v>
      </c>
      <c r="O82" s="59">
        <f ca="1">IF(B82&gt;59.5,MAX(0,MIN((AA82+$Y82+$AJ82)*(IF(D82&lt;(MIN(E70:E81)+1),1,'Retirement Planning'!$J$44))-M82-$G82-$X82-(IF(D82&lt;(MIN(E70:E81)+1),D82,0)),N82)),0)</f>
        <v>0</v>
      </c>
      <c r="P82" s="57">
        <f t="shared" si="40"/>
        <v>0</v>
      </c>
      <c r="Q82" s="58">
        <f t="shared" si="41"/>
        <v>0</v>
      </c>
      <c r="R82" s="57">
        <f ca="1">(R81-S81-T81)*(1+'Retirement Planning'!$J$23/12)</f>
        <v>248366.13036833267</v>
      </c>
      <c r="S82" s="58">
        <f t="shared" ca="1" si="42"/>
        <v>358.33333333333337</v>
      </c>
      <c r="T82" s="273">
        <f t="shared" ca="1" si="29"/>
        <v>-1.1368683772161603E-12</v>
      </c>
      <c r="U82" s="57">
        <f ca="1">(U81-V81)*(1+'Retirement Planning'!$J$23/12)</f>
        <v>214034.56976876399</v>
      </c>
      <c r="V82" s="24">
        <f ca="1">IF(AND($B$10&lt;55,B82&lt;59.5),MIN(U82,MAX(0,(Y82+AA82+AJ82-G82)*'Retirement Planning'!$J$45)),IF(B82&lt;59.5,(MIN(U82,MAX(0,((Y82+AA82+AJ82)-G82-M82)*'Retirement Planning'!$J$45))),MIN(U82,MAX(0,(Y82+AA82+AJ82-G82-M82-K82-X82)*'Retirement Planning'!$J$45))))</f>
        <v>720.90862259267681</v>
      </c>
      <c r="W82" s="7">
        <f t="shared" ca="1" si="30"/>
        <v>1814863.3179925315</v>
      </c>
      <c r="X82" s="7">
        <f>(IF(B82&gt;'Retirement Planning'!$J$34,IF('Retirement Planning'!$J$34=70,'Retirement Planning'!$J$37/12,IF('Retirement Planning'!$J$34=67,'Retirement Planning'!$J$36/12,'Retirement Planning'!$J$35/12)),0))*'Retirement Planning'!$J$38</f>
        <v>1213.6000000000001</v>
      </c>
      <c r="Y82" s="7">
        <f ca="1">'Retirement Planning'!$F$35*((1+'Retirement Planning'!$J$24)^(YEAR('Projected Retirement Drawdown'!C82)-YEAR(TODAY())))</f>
        <v>6381.713712725289</v>
      </c>
      <c r="Z82" s="7">
        <f ca="1">G82+M82+O82+0.85*X82+V82*'Retirement Planning'!$J$46+T82</f>
        <v>6895.6494941429928</v>
      </c>
      <c r="AA82" s="7">
        <f ca="1">IF(MONTH(C82)=1,(((MIN(MAX(0,((SUM(Z70:Z81)-'Retirement Planning'!$I$53-'Retirement Planning'!$I$54)-'Retirement Planning'!$J$51)*'Retirement Planning'!$I$52))))+(MIN(MAX(0,((SUM(Z70:Z81)-'Retirement Planning'!$I$53-'Retirement Planning'!$I$54)-'Retirement Planning'!$J$50)*'Retirement Planning'!$I$51),('Retirement Planning'!$J$51-'Retirement Planning'!$J$50)*'Retirement Planning'!$I$51))+(MIN(MAX(0,((SUM(Z70:Z81)-'Retirement Planning'!$I$53-'Retirement Planning'!$I$54)-'Retirement Planning'!$J$49)*'Retirement Planning'!$I$50),('Retirement Planning'!$J$50-'Retirement Planning'!$J$49)*'Retirement Planning'!$I$50)+MIN(MAX(0,((SUM(Z70:Z81)-'Retirement Planning'!$I$53-'Retirement Planning'!$I$54)-'Retirement Planning'!$J$48)*'Retirement Planning'!$I$49),('Retirement Planning'!$J$49-'Retirement Planning'!$J$48)*'Retirement Planning'!$I$49)+MIN(((SUM(Z70:Z81)-'Retirement Planning'!$I$53-'Retirement Planning'!$I$54))*'Retirement Planning'!$I$48,('Retirement Planning'!$J$48)*'Retirement Planning'!$I$48))+(IF((SUM(Z70:Z81)-'Retirement Planning'!$I$54-'Retirement Planning'!$I$61)&gt;'Retirement Planning'!$J$59,(SUM(Z70:Z81)-'Retirement Planning'!$I$54-'Retirement Planning'!$I$61-'Retirement Planning'!$J$59)*'Retirement Planning'!$I$60+'Retirement Planning'!$K$59,IF((SUM(Z70:Z81)-'Retirement Planning'!$I$54-'Retirement Planning'!$I$61)&gt;'Retirement Planning'!$J$58,(SUM(Z70:Z81)-'Retirement Planning'!$I$54-'Retirement Planning'!$I$61-'Retirement Planning'!$J$58)*'Retirement Planning'!$I$59+'Retirement Planning'!$K$58,IF((SUM(Z70:Z81)-'Retirement Planning'!$I$54-'Retirement Planning'!$I$61)&gt;'Retirement Planning'!$J$57,(SUM(Z70:Z81)-'Retirement Planning'!$I$54-'Retirement Planning'!$I$61-'Retirement Planning'!$J$57)*'Retirement Planning'!$I$58+'Retirement Planning'!$K$57,IF((SUM(Z70:Z81)-'Retirement Planning'!$I$54-'Retirement Planning'!$I$61)&gt;'Retirement Planning'!$J$56,(SUM(Z70:Z81)-'Retirement Planning'!$I$54-'Retirement Planning'!$I$61-'Retirement Planning'!$J$56)*'Retirement Planning'!$I$57+'Retirement Planning'!$K$56,(SUM(Z70:Z81)-'Retirement Planning'!$I$54-'Retirement Planning'!$I$61)*'Retirement Planning'!$I$56))))))/12,AA81)</f>
        <v>1225.3353634685652</v>
      </c>
      <c r="AB82" s="104">
        <f t="shared" ref="AB82:AB145" ca="1" si="44">AB81</f>
        <v>0.19203695641619659</v>
      </c>
      <c r="AC82" s="7">
        <f>IF(B82&lt;65,'Retirement Planning'!$J$28,0)</f>
        <v>583</v>
      </c>
      <c r="AD82" s="7">
        <f>IF(B82&lt;65,'Retirement Planning'!$J$29/12,0)</f>
        <v>291.66666666666669</v>
      </c>
      <c r="AE82" s="22">
        <f>'Retirement Planning'!$J$31/12</f>
        <v>58.333333333333336</v>
      </c>
      <c r="AF82" s="22">
        <f>'Retirement Planning'!$J$32/12</f>
        <v>66.666666666666671</v>
      </c>
      <c r="AG82" s="7">
        <f>IF($B82&gt;64.9,'Retirement Planning'!$J$39/12,0)</f>
        <v>0</v>
      </c>
      <c r="AH82" s="7">
        <f>IF($B82&gt;64.9,'Retirement Planning'!$J$40/12,0)</f>
        <v>0</v>
      </c>
      <c r="AI82" s="7">
        <f>IF($B82&gt;64.9,'Retirement Planning'!$J$41/12,0)</f>
        <v>0</v>
      </c>
      <c r="AJ82" s="7">
        <f t="shared" ca="1" si="31"/>
        <v>641.33333333333337</v>
      </c>
      <c r="AK82" s="3" t="str">
        <f t="shared" ca="1" si="32"/>
        <v>N/A</v>
      </c>
      <c r="AL82" s="6" t="str">
        <f t="shared" ca="1" si="33"/>
        <v>N/A</v>
      </c>
      <c r="AM82" s="7">
        <f t="shared" ca="1" si="34"/>
        <v>1.1368683772161603E-13</v>
      </c>
      <c r="AN82" s="7">
        <f t="shared" ca="1" si="35"/>
        <v>8606.7157428605205</v>
      </c>
      <c r="AO82" s="7">
        <f t="shared" si="36"/>
        <v>999.66666666666674</v>
      </c>
    </row>
    <row r="83" spans="1:41" x14ac:dyDescent="0.2">
      <c r="A83">
        <f t="shared" si="37"/>
        <v>50</v>
      </c>
      <c r="B83" s="5">
        <f t="shared" si="38"/>
        <v>62.4</v>
      </c>
      <c r="C83" s="56">
        <f t="shared" si="39"/>
        <v>48639</v>
      </c>
      <c r="D83" s="57">
        <f ca="1">IF(AND(B82&lt;59.5,OR(B83&gt;59.5,B83=59.5)),(D82-E82+J82-K82)*(1+'Retirement Planning'!$J$23/12),(D82-E82)*(1+'Retirement Planning'!$J$23/12))</f>
        <v>257072.15186987878</v>
      </c>
      <c r="E83" s="58">
        <f t="shared" ca="1" si="26"/>
        <v>846.28403521748987</v>
      </c>
      <c r="F83" s="57">
        <f ca="1">IF(AND(OR(B83&gt;59.5,B83=59.5),B82&lt;59.5),(F82-G82+L82-M82+N82-O82)*(1+'Retirement Planning'!$J$23/12),(F82-G82)*(1+'Retirement Planning'!$J$23/12))</f>
        <v>1098611.8124691069</v>
      </c>
      <c r="G83" s="58">
        <f ca="1">IF(AND($B$10&lt;55,B83&lt;59.5),'Retirement Planning'!$J$25,IF(OR(B83&gt;59.5,B83=59.5),MAX(0,MIN(F83,IF(D83&lt;2500,((Y83+AJ83+AA83))-X83,((Y83+AJ83+AA83)*'Retirement Planning'!$J$44)-X83))),0))</f>
        <v>5467.5897517170215</v>
      </c>
      <c r="H83" s="255">
        <f ca="1">IF(MONTH(C83)=1,IF(B83&gt;69.5,F83/(INDEX('Retirement Planning'!D$1:D$264,(160+INT(B83))))/12,0),IF(F83=0,0,H82))</f>
        <v>0</v>
      </c>
      <c r="I83" s="262">
        <f t="shared" ca="1" si="27"/>
        <v>0</v>
      </c>
      <c r="J83" s="254">
        <f ca="1">IF(AND(B82&lt;59.5,OR(B83=59.5,B83&gt;59.5)),0,(J82-K82)*(1+'Retirement Planning'!$J$23/12))</f>
        <v>0</v>
      </c>
      <c r="K83" s="58">
        <f t="shared" ca="1" si="28"/>
        <v>0</v>
      </c>
      <c r="L83" s="57">
        <f>IF(AND(OR(B83&gt;59.5,B83=59.5),B82&lt;59.5),0,(L82-M82)*(1+'Retirement Planning'!$J$23/12))</f>
        <v>0</v>
      </c>
      <c r="M83" s="59">
        <f>IF(AND($B$10&lt;55,B83&lt;59.5),0,IF(B83&lt;59.5,MAX(0,MIN((($Y83+$AJ83+AA83)*'Retirement Planning'!$J$44)-$G83-$X83,L83)),0))</f>
        <v>0</v>
      </c>
      <c r="N83" s="57">
        <f ca="1">(N82-O82)*(1+'Retirement Planning'!$J$23/12)</f>
        <v>0</v>
      </c>
      <c r="O83" s="59">
        <f ca="1">IF(B83&gt;59.5,MAX(0,MIN((AA83+$Y83+$AJ83)*(IF(D83&lt;(MIN(E71:E82)+1),1,'Retirement Planning'!$J$44))-M83-$G83-$X83-(IF(D83&lt;(MIN(E71:E82)+1),D83,0)),N83)),0)</f>
        <v>0</v>
      </c>
      <c r="P83" s="57">
        <f t="shared" si="40"/>
        <v>0</v>
      </c>
      <c r="Q83" s="58">
        <f t="shared" si="41"/>
        <v>0</v>
      </c>
      <c r="R83" s="57">
        <f ca="1">(R82-S82-T82)*(1+'Retirement Planning'!$J$23/12)</f>
        <v>249764.51893066391</v>
      </c>
      <c r="S83" s="58">
        <f t="shared" ca="1" si="42"/>
        <v>358.33333333333337</v>
      </c>
      <c r="T83" s="273">
        <f t="shared" ca="1" si="29"/>
        <v>-1.1368683772161603E-12</v>
      </c>
      <c r="U83" s="57">
        <f ca="1">(U82-V82)*(1+'Retirement Planning'!$J$23/12)</f>
        <v>214824.63291262335</v>
      </c>
      <c r="V83" s="24">
        <f ca="1">IF(AND($B$10&lt;55,B83&lt;59.5),MIN(U83,MAX(0,(Y83+AA83+AJ83-G83)*'Retirement Planning'!$J$45)),IF(B83&lt;59.5,(MIN(U83,MAX(0,((Y83+AA83+AJ83)-G83-M83)*'Retirement Planning'!$J$45))),MIN(U83,MAX(0,(Y83+AA83+AJ83-G83-M83-K83-X83)*'Retirement Planning'!$J$45))))</f>
        <v>720.90862259267681</v>
      </c>
      <c r="W83" s="7">
        <f t="shared" ca="1" si="30"/>
        <v>1820273.1161822728</v>
      </c>
      <c r="X83" s="7">
        <f>(IF(B83&gt;'Retirement Planning'!$J$34,IF('Retirement Planning'!$J$34=70,'Retirement Planning'!$J$37/12,IF('Retirement Planning'!$J$34=67,'Retirement Planning'!$J$36/12,'Retirement Planning'!$J$35/12)),0))*'Retirement Planning'!$J$38</f>
        <v>1213.6000000000001</v>
      </c>
      <c r="Y83" s="7">
        <f ca="1">'Retirement Planning'!$F$35*((1+'Retirement Planning'!$J$24)^(YEAR('Projected Retirement Drawdown'!C83)-YEAR(TODAY())))</f>
        <v>6381.713712725289</v>
      </c>
      <c r="Z83" s="7">
        <f ca="1">G83+M83+O83+0.85*X83+V83*'Retirement Planning'!$J$46+T83</f>
        <v>6895.6494941429928</v>
      </c>
      <c r="AA83" s="7">
        <f ca="1">IF(MONTH(C83)=1,(((MIN(MAX(0,((SUM(Z71:Z82)-'Retirement Planning'!$I$53-'Retirement Planning'!$I$54)-'Retirement Planning'!$J$51)*'Retirement Planning'!$I$52))))+(MIN(MAX(0,((SUM(Z71:Z82)-'Retirement Planning'!$I$53-'Retirement Planning'!$I$54)-'Retirement Planning'!$J$50)*'Retirement Planning'!$I$51),('Retirement Planning'!$J$51-'Retirement Planning'!$J$50)*'Retirement Planning'!$I$51))+(MIN(MAX(0,((SUM(Z71:Z82)-'Retirement Planning'!$I$53-'Retirement Planning'!$I$54)-'Retirement Planning'!$J$49)*'Retirement Planning'!$I$50),('Retirement Planning'!$J$50-'Retirement Planning'!$J$49)*'Retirement Planning'!$I$50)+MIN(MAX(0,((SUM(Z71:Z82)-'Retirement Planning'!$I$53-'Retirement Planning'!$I$54)-'Retirement Planning'!$J$48)*'Retirement Planning'!$I$49),('Retirement Planning'!$J$49-'Retirement Planning'!$J$48)*'Retirement Planning'!$I$49)+MIN(((SUM(Z71:Z82)-'Retirement Planning'!$I$53-'Retirement Planning'!$I$54))*'Retirement Planning'!$I$48,('Retirement Planning'!$J$48)*'Retirement Planning'!$I$48))+(IF((SUM(Z71:Z82)-'Retirement Planning'!$I$54-'Retirement Planning'!$I$61)&gt;'Retirement Planning'!$J$59,(SUM(Z71:Z82)-'Retirement Planning'!$I$54-'Retirement Planning'!$I$61-'Retirement Planning'!$J$59)*'Retirement Planning'!$I$60+'Retirement Planning'!$K$59,IF((SUM(Z71:Z82)-'Retirement Planning'!$I$54-'Retirement Planning'!$I$61)&gt;'Retirement Planning'!$J$58,(SUM(Z71:Z82)-'Retirement Planning'!$I$54-'Retirement Planning'!$I$61-'Retirement Planning'!$J$58)*'Retirement Planning'!$I$59+'Retirement Planning'!$K$58,IF((SUM(Z71:Z82)-'Retirement Planning'!$I$54-'Retirement Planning'!$I$61)&gt;'Retirement Planning'!$J$57,(SUM(Z71:Z82)-'Retirement Planning'!$I$54-'Retirement Planning'!$I$61-'Retirement Planning'!$J$57)*'Retirement Planning'!$I$58+'Retirement Planning'!$K$57,IF((SUM(Z71:Z82)-'Retirement Planning'!$I$54-'Retirement Planning'!$I$61)&gt;'Retirement Planning'!$J$56,(SUM(Z71:Z82)-'Retirement Planning'!$I$54-'Retirement Planning'!$I$61-'Retirement Planning'!$J$56)*'Retirement Planning'!$I$57+'Retirement Planning'!$K$56,(SUM(Z71:Z82)-'Retirement Planning'!$I$54-'Retirement Planning'!$I$61)*'Retirement Planning'!$I$56))))))/12,AA82)</f>
        <v>1225.3353634685652</v>
      </c>
      <c r="AB83" s="104">
        <f t="shared" ca="1" si="21"/>
        <v>0.19203695641619659</v>
      </c>
      <c r="AC83" s="7">
        <f>IF(B83&lt;65,'Retirement Planning'!$J$28,0)</f>
        <v>583</v>
      </c>
      <c r="AD83" s="7">
        <f>IF(B83&lt;65,'Retirement Planning'!$J$29/12,0)</f>
        <v>291.66666666666669</v>
      </c>
      <c r="AE83" s="22">
        <f>'Retirement Planning'!$J$31/12</f>
        <v>58.333333333333336</v>
      </c>
      <c r="AF83" s="22">
        <f>'Retirement Planning'!$J$32/12</f>
        <v>66.666666666666671</v>
      </c>
      <c r="AG83" s="7">
        <f>IF($B83&gt;64.9,'Retirement Planning'!$J$39/12,0)</f>
        <v>0</v>
      </c>
      <c r="AH83" s="7">
        <f>IF($B83&gt;64.9,'Retirement Planning'!$J$40/12,0)</f>
        <v>0</v>
      </c>
      <c r="AI83" s="7">
        <f>IF($B83&gt;64.9,'Retirement Planning'!$J$41/12,0)</f>
        <v>0</v>
      </c>
      <c r="AJ83" s="7">
        <f t="shared" ca="1" si="31"/>
        <v>641.33333333333337</v>
      </c>
      <c r="AK83" s="3" t="str">
        <f t="shared" ca="1" si="32"/>
        <v>N/A</v>
      </c>
      <c r="AL83" s="6" t="str">
        <f t="shared" ca="1" si="33"/>
        <v>N/A</v>
      </c>
      <c r="AM83" s="7">
        <f t="shared" ca="1" si="34"/>
        <v>1.1368683772161603E-13</v>
      </c>
      <c r="AN83" s="7">
        <f t="shared" ca="1" si="35"/>
        <v>8606.7157428605205</v>
      </c>
      <c r="AO83" s="7">
        <f t="shared" si="36"/>
        <v>999.66666666666674</v>
      </c>
    </row>
    <row r="84" spans="1:41" x14ac:dyDescent="0.2">
      <c r="A84">
        <f t="shared" si="37"/>
        <v>50</v>
      </c>
      <c r="B84" s="5">
        <f t="shared" si="38"/>
        <v>62.5</v>
      </c>
      <c r="C84" s="56">
        <f t="shared" si="39"/>
        <v>48670</v>
      </c>
      <c r="D84" s="57">
        <f ca="1">IF(AND(B83&lt;59.5,OR(B84&gt;59.5,B84=59.5)),(D83-E83+J83-K83)*(1+'Retirement Planning'!$J$23/12),(D83-E83)*(1+'Retirement Planning'!$J$23/12))</f>
        <v>258040.80106515682</v>
      </c>
      <c r="E84" s="58">
        <f t="shared" ca="1" si="26"/>
        <v>846.28403521748987</v>
      </c>
      <c r="F84" s="57">
        <f ca="1">IF(AND(OR(B84&gt;59.5,B84=59.5),B83&lt;59.5),(F83-G83+L83-M83+N83-O83)*(1+'Retirement Planning'!$J$23/12),(F83-G83)*(1+'Retirement Planning'!$J$23/12))</f>
        <v>1100887.3276283047</v>
      </c>
      <c r="G84" s="58">
        <f ca="1">IF(AND($B$10&lt;55,B84&lt;59.5),'Retirement Planning'!$J$25,IF(OR(B84&gt;59.5,B84=59.5),MAX(0,MIN(F84,IF(D84&lt;2500,((Y84+AJ84+AA84))-X84,((Y84+AJ84+AA84)*'Retirement Planning'!$J$44)-X84))),0))</f>
        <v>5467.5897517170215</v>
      </c>
      <c r="H84" s="255">
        <f ca="1">IF(MONTH(C84)=1,IF(B84&gt;69.5,F84/(INDEX('Retirement Planning'!D$1:D$264,(160+INT(B84))))/12,0),IF(F84=0,0,H83))</f>
        <v>0</v>
      </c>
      <c r="I84" s="262">
        <f t="shared" ca="1" si="27"/>
        <v>0</v>
      </c>
      <c r="J84" s="254">
        <f ca="1">IF(AND(B83&lt;59.5,OR(B84=59.5,B84&gt;59.5)),0,(J83-K83)*(1+'Retirement Planning'!$J$23/12))</f>
        <v>0</v>
      </c>
      <c r="K84" s="58">
        <f t="shared" ca="1" si="28"/>
        <v>0</v>
      </c>
      <c r="L84" s="57">
        <f>IF(AND(OR(B84&gt;59.5,B84=59.5),B83&lt;59.5),0,(L83-M83)*(1+'Retirement Planning'!$J$23/12))</f>
        <v>0</v>
      </c>
      <c r="M84" s="59">
        <f>IF(AND($B$10&lt;55,B84&lt;59.5),0,IF(B84&lt;59.5,MAX(0,MIN((($Y84+$AJ84+AA84)*'Retirement Planning'!$J$44)-$G84-$X84,L84)),0))</f>
        <v>0</v>
      </c>
      <c r="N84" s="57">
        <f ca="1">(N83-O83)*(1+'Retirement Planning'!$J$23/12)</f>
        <v>0</v>
      </c>
      <c r="O84" s="59">
        <f ca="1">IF(B84&gt;59.5,MAX(0,MIN((AA84+$Y84+$AJ84)*(IF(D84&lt;(MIN(E72:E83)+1),1,'Retirement Planning'!$J$44))-M84-$G84-$X84-(IF(D84&lt;(MIN(E72:E83)+1),D84,0)),N84)),0)</f>
        <v>0</v>
      </c>
      <c r="P84" s="57">
        <f t="shared" si="40"/>
        <v>0</v>
      </c>
      <c r="Q84" s="58">
        <f t="shared" si="41"/>
        <v>0</v>
      </c>
      <c r="R84" s="57">
        <f ca="1">(R83-S83-T83)*(1+'Retirement Planning'!$J$23/12)</f>
        <v>251172.81274531165</v>
      </c>
      <c r="S84" s="58">
        <f t="shared" ca="1" si="42"/>
        <v>358.33333333333337</v>
      </c>
      <c r="T84" s="273">
        <f t="shared" ca="1" si="29"/>
        <v>-1.1368683772161603E-12</v>
      </c>
      <c r="U84" s="57">
        <f ca="1">(U83-V83)*(1+'Retirement Planning'!$J$23/12)</f>
        <v>215620.29233708503</v>
      </c>
      <c r="V84" s="24">
        <f ca="1">IF(AND($B$10&lt;55,B84&lt;59.5),MIN(U84,MAX(0,(Y84+AA84+AJ84-G84)*'Retirement Planning'!$J$45)),IF(B84&lt;59.5,(MIN(U84,MAX(0,((Y84+AA84+AJ84)-G84-M84)*'Retirement Planning'!$J$45))),MIN(U84,MAX(0,(Y84+AA84+AJ84-G84-M84-K84-X84)*'Retirement Planning'!$J$45))))</f>
        <v>720.90862259267681</v>
      </c>
      <c r="W84" s="7">
        <f t="shared" ca="1" si="30"/>
        <v>1825721.2337758583</v>
      </c>
      <c r="X84" s="7">
        <f>(IF(B84&gt;'Retirement Planning'!$J$34,IF('Retirement Planning'!$J$34=70,'Retirement Planning'!$J$37/12,IF('Retirement Planning'!$J$34=67,'Retirement Planning'!$J$36/12,'Retirement Planning'!$J$35/12)),0))*'Retirement Planning'!$J$38</f>
        <v>1213.6000000000001</v>
      </c>
      <c r="Y84" s="7">
        <f ca="1">'Retirement Planning'!$F$35*((1+'Retirement Planning'!$J$24)^(YEAR('Projected Retirement Drawdown'!C84)-YEAR(TODAY())))</f>
        <v>6381.713712725289</v>
      </c>
      <c r="Z84" s="7">
        <f ca="1">G84+M84+O84+0.85*X84+V84*'Retirement Planning'!$J$46+T84</f>
        <v>6895.6494941429928</v>
      </c>
      <c r="AA84" s="7">
        <f ca="1">IF(MONTH(C84)=1,(((MIN(MAX(0,((SUM(Z72:Z83)-'Retirement Planning'!$I$53-'Retirement Planning'!$I$54)-'Retirement Planning'!$J$51)*'Retirement Planning'!$I$52))))+(MIN(MAX(0,((SUM(Z72:Z83)-'Retirement Planning'!$I$53-'Retirement Planning'!$I$54)-'Retirement Planning'!$J$50)*'Retirement Planning'!$I$51),('Retirement Planning'!$J$51-'Retirement Planning'!$J$50)*'Retirement Planning'!$I$51))+(MIN(MAX(0,((SUM(Z72:Z83)-'Retirement Planning'!$I$53-'Retirement Planning'!$I$54)-'Retirement Planning'!$J$49)*'Retirement Planning'!$I$50),('Retirement Planning'!$J$50-'Retirement Planning'!$J$49)*'Retirement Planning'!$I$50)+MIN(MAX(0,((SUM(Z72:Z83)-'Retirement Planning'!$I$53-'Retirement Planning'!$I$54)-'Retirement Planning'!$J$48)*'Retirement Planning'!$I$49),('Retirement Planning'!$J$49-'Retirement Planning'!$J$48)*'Retirement Planning'!$I$49)+MIN(((SUM(Z72:Z83)-'Retirement Planning'!$I$53-'Retirement Planning'!$I$54))*'Retirement Planning'!$I$48,('Retirement Planning'!$J$48)*'Retirement Planning'!$I$48))+(IF((SUM(Z72:Z83)-'Retirement Planning'!$I$54-'Retirement Planning'!$I$61)&gt;'Retirement Planning'!$J$59,(SUM(Z72:Z83)-'Retirement Planning'!$I$54-'Retirement Planning'!$I$61-'Retirement Planning'!$J$59)*'Retirement Planning'!$I$60+'Retirement Planning'!$K$59,IF((SUM(Z72:Z83)-'Retirement Planning'!$I$54-'Retirement Planning'!$I$61)&gt;'Retirement Planning'!$J$58,(SUM(Z72:Z83)-'Retirement Planning'!$I$54-'Retirement Planning'!$I$61-'Retirement Planning'!$J$58)*'Retirement Planning'!$I$59+'Retirement Planning'!$K$58,IF((SUM(Z72:Z83)-'Retirement Planning'!$I$54-'Retirement Planning'!$I$61)&gt;'Retirement Planning'!$J$57,(SUM(Z72:Z83)-'Retirement Planning'!$I$54-'Retirement Planning'!$I$61-'Retirement Planning'!$J$57)*'Retirement Planning'!$I$58+'Retirement Planning'!$K$57,IF((SUM(Z72:Z83)-'Retirement Planning'!$I$54-'Retirement Planning'!$I$61)&gt;'Retirement Planning'!$J$56,(SUM(Z72:Z83)-'Retirement Planning'!$I$54-'Retirement Planning'!$I$61-'Retirement Planning'!$J$56)*'Retirement Planning'!$I$57+'Retirement Planning'!$K$56,(SUM(Z72:Z83)-'Retirement Planning'!$I$54-'Retirement Planning'!$I$61)*'Retirement Planning'!$I$56))))))/12,AA83)</f>
        <v>1225.3353634685652</v>
      </c>
      <c r="AB84" s="104">
        <f t="shared" ca="1" si="21"/>
        <v>0.19203695641619659</v>
      </c>
      <c r="AC84" s="7">
        <f>IF(B84&lt;65,'Retirement Planning'!$J$28,0)</f>
        <v>583</v>
      </c>
      <c r="AD84" s="7">
        <f>IF(B84&lt;65,'Retirement Planning'!$J$29/12,0)</f>
        <v>291.66666666666669</v>
      </c>
      <c r="AE84" s="22">
        <f>'Retirement Planning'!$J$31/12</f>
        <v>58.333333333333336</v>
      </c>
      <c r="AF84" s="22">
        <f>'Retirement Planning'!$J$32/12</f>
        <v>66.666666666666671</v>
      </c>
      <c r="AG84" s="7">
        <f>IF($B84&gt;64.9,'Retirement Planning'!$J$39/12,0)</f>
        <v>0</v>
      </c>
      <c r="AH84" s="7">
        <f>IF($B84&gt;64.9,'Retirement Planning'!$J$40/12,0)</f>
        <v>0</v>
      </c>
      <c r="AI84" s="7">
        <f>IF($B84&gt;64.9,'Retirement Planning'!$J$41/12,0)</f>
        <v>0</v>
      </c>
      <c r="AJ84" s="7">
        <f t="shared" ca="1" si="31"/>
        <v>641.33333333333337</v>
      </c>
      <c r="AK84" s="3" t="str">
        <f t="shared" ca="1" si="32"/>
        <v>N/A</v>
      </c>
      <c r="AL84" s="6" t="str">
        <f t="shared" ca="1" si="33"/>
        <v>N/A</v>
      </c>
      <c r="AM84" s="7">
        <f t="shared" ca="1" si="34"/>
        <v>1.1368683772161603E-13</v>
      </c>
      <c r="AN84" s="7">
        <f t="shared" ca="1" si="35"/>
        <v>8606.7157428605205</v>
      </c>
      <c r="AO84" s="7">
        <f t="shared" si="36"/>
        <v>999.66666666666674</v>
      </c>
    </row>
    <row r="85" spans="1:41" x14ac:dyDescent="0.2">
      <c r="A85">
        <f t="shared" si="37"/>
        <v>50</v>
      </c>
      <c r="B85" s="5">
        <f t="shared" si="38"/>
        <v>62.5</v>
      </c>
      <c r="C85" s="56">
        <f t="shared" si="39"/>
        <v>48700</v>
      </c>
      <c r="D85" s="57">
        <f ca="1">IF(AND(B84&lt;59.5,OR(B85&gt;59.5,B85=59.5)),(D84-E84+J84-K84)*(1+'Retirement Planning'!$J$23/12),(D84-E84)*(1+'Retirement Planning'!$J$23/12))</f>
        <v>259016.31152556808</v>
      </c>
      <c r="E85" s="58">
        <f t="shared" ca="1" si="26"/>
        <v>846.28403521748987</v>
      </c>
      <c r="F85" s="57">
        <f ca="1">IF(AND(OR(B85&gt;59.5,B85=59.5),B84&lt;59.5),(F84-G84+L84-M84+N84-O84)*(1+'Retirement Planning'!$J$23/12),(F84-G84)*(1+'Retirement Planning'!$J$23/12))</f>
        <v>1103178.9610198804</v>
      </c>
      <c r="G85" s="58">
        <f ca="1">IF(AND($B$10&lt;55,B85&lt;59.5),'Retirement Planning'!$J$25,IF(OR(B85&gt;59.5,B85=59.5),MAX(0,MIN(F85,IF(D85&lt;2500,((Y85+AJ85+AA85))-X85,((Y85+AJ85+AA85)*'Retirement Planning'!$J$44)-X85))),0))</f>
        <v>5467.5897517170215</v>
      </c>
      <c r="H85" s="255">
        <f ca="1">IF(MONTH(C85)=1,IF(B85&gt;69.5,F85/(INDEX('Retirement Planning'!D$1:D$264,(160+INT(B85))))/12,0),IF(F85=0,0,H84))</f>
        <v>0</v>
      </c>
      <c r="I85" s="262">
        <f t="shared" ca="1" si="27"/>
        <v>0</v>
      </c>
      <c r="J85" s="254">
        <f ca="1">IF(AND(B84&lt;59.5,OR(B85=59.5,B85&gt;59.5)),0,(J84-K84)*(1+'Retirement Planning'!$J$23/12))</f>
        <v>0</v>
      </c>
      <c r="K85" s="58">
        <f t="shared" ca="1" si="28"/>
        <v>0</v>
      </c>
      <c r="L85" s="57">
        <f>IF(AND(OR(B85&gt;59.5,B85=59.5),B84&lt;59.5),0,(L84-M84)*(1+'Retirement Planning'!$J$23/12))</f>
        <v>0</v>
      </c>
      <c r="M85" s="59">
        <f>IF(AND($B$10&lt;55,B85&lt;59.5),0,IF(B85&lt;59.5,MAX(0,MIN((($Y85+$AJ85+AA85)*'Retirement Planning'!$J$44)-$G85-$X85,L85)),0))</f>
        <v>0</v>
      </c>
      <c r="N85" s="57">
        <f ca="1">(N84-O84)*(1+'Retirement Planning'!$J$23/12)</f>
        <v>0</v>
      </c>
      <c r="O85" s="59">
        <f ca="1">IF(B85&gt;59.5,MAX(0,MIN((AA85+$Y85+$AJ85)*(IF(D85&lt;(MIN(E73:E84)+1),1,'Retirement Planning'!$J$44))-M85-$G85-$X85-(IF(D85&lt;(MIN(E73:E84)+1),D85,0)),N85)),0)</f>
        <v>0</v>
      </c>
      <c r="P85" s="57">
        <f t="shared" si="40"/>
        <v>0</v>
      </c>
      <c r="Q85" s="58">
        <f t="shared" si="41"/>
        <v>0</v>
      </c>
      <c r="R85" s="57">
        <f ca="1">(R84-S84-T84)*(1+'Retirement Planning'!$J$23/12)</f>
        <v>252591.08197447981</v>
      </c>
      <c r="S85" s="58">
        <f t="shared" ca="1" si="42"/>
        <v>358.33333333333337</v>
      </c>
      <c r="T85" s="273">
        <f t="shared" ca="1" si="29"/>
        <v>-1.1368683772161603E-12</v>
      </c>
      <c r="U85" s="57">
        <f ca="1">(U84-V84)*(1+'Retirement Planning'!$J$23/12)</f>
        <v>216421.58768247001</v>
      </c>
      <c r="V85" s="24">
        <f ca="1">IF(AND($B$10&lt;55,B85&lt;59.5),MIN(U85,MAX(0,(Y85+AA85+AJ85-G85)*'Retirement Planning'!$J$45)),IF(B85&lt;59.5,(MIN(U85,MAX(0,((Y85+AA85+AJ85)-G85-M85)*'Retirement Planning'!$J$45))),MIN(U85,MAX(0,(Y85+AA85+AJ85-G85-M85-K85-X85)*'Retirement Planning'!$J$45))))</f>
        <v>720.90862259267681</v>
      </c>
      <c r="W85" s="7">
        <f t="shared" ca="1" si="30"/>
        <v>1831207.9422023983</v>
      </c>
      <c r="X85" s="7">
        <f>(IF(B85&gt;'Retirement Planning'!$J$34,IF('Retirement Planning'!$J$34=70,'Retirement Planning'!$J$37/12,IF('Retirement Planning'!$J$34=67,'Retirement Planning'!$J$36/12,'Retirement Planning'!$J$35/12)),0))*'Retirement Planning'!$J$38</f>
        <v>1213.6000000000001</v>
      </c>
      <c r="Y85" s="7">
        <f ca="1">'Retirement Planning'!$F$35*((1+'Retirement Planning'!$J$24)^(YEAR('Projected Retirement Drawdown'!C85)-YEAR(TODAY())))</f>
        <v>6381.713712725289</v>
      </c>
      <c r="Z85" s="7">
        <f ca="1">G85+M85+O85+0.85*X85+V85*'Retirement Planning'!$J$46+T85</f>
        <v>6895.6494941429928</v>
      </c>
      <c r="AA85" s="7">
        <f ca="1">IF(MONTH(C85)=1,(((MIN(MAX(0,((SUM(Z73:Z84)-'Retirement Planning'!$I$53-'Retirement Planning'!$I$54)-'Retirement Planning'!$J$51)*'Retirement Planning'!$I$52))))+(MIN(MAX(0,((SUM(Z73:Z84)-'Retirement Planning'!$I$53-'Retirement Planning'!$I$54)-'Retirement Planning'!$J$50)*'Retirement Planning'!$I$51),('Retirement Planning'!$J$51-'Retirement Planning'!$J$50)*'Retirement Planning'!$I$51))+(MIN(MAX(0,((SUM(Z73:Z84)-'Retirement Planning'!$I$53-'Retirement Planning'!$I$54)-'Retirement Planning'!$J$49)*'Retirement Planning'!$I$50),('Retirement Planning'!$J$50-'Retirement Planning'!$J$49)*'Retirement Planning'!$I$50)+MIN(MAX(0,((SUM(Z73:Z84)-'Retirement Planning'!$I$53-'Retirement Planning'!$I$54)-'Retirement Planning'!$J$48)*'Retirement Planning'!$I$49),('Retirement Planning'!$J$49-'Retirement Planning'!$J$48)*'Retirement Planning'!$I$49)+MIN(((SUM(Z73:Z84)-'Retirement Planning'!$I$53-'Retirement Planning'!$I$54))*'Retirement Planning'!$I$48,('Retirement Planning'!$J$48)*'Retirement Planning'!$I$48))+(IF((SUM(Z73:Z84)-'Retirement Planning'!$I$54-'Retirement Planning'!$I$61)&gt;'Retirement Planning'!$J$59,(SUM(Z73:Z84)-'Retirement Planning'!$I$54-'Retirement Planning'!$I$61-'Retirement Planning'!$J$59)*'Retirement Planning'!$I$60+'Retirement Planning'!$K$59,IF((SUM(Z73:Z84)-'Retirement Planning'!$I$54-'Retirement Planning'!$I$61)&gt;'Retirement Planning'!$J$58,(SUM(Z73:Z84)-'Retirement Planning'!$I$54-'Retirement Planning'!$I$61-'Retirement Planning'!$J$58)*'Retirement Planning'!$I$59+'Retirement Planning'!$K$58,IF((SUM(Z73:Z84)-'Retirement Planning'!$I$54-'Retirement Planning'!$I$61)&gt;'Retirement Planning'!$J$57,(SUM(Z73:Z84)-'Retirement Planning'!$I$54-'Retirement Planning'!$I$61-'Retirement Planning'!$J$57)*'Retirement Planning'!$I$58+'Retirement Planning'!$K$57,IF((SUM(Z73:Z84)-'Retirement Planning'!$I$54-'Retirement Planning'!$I$61)&gt;'Retirement Planning'!$J$56,(SUM(Z73:Z84)-'Retirement Planning'!$I$54-'Retirement Planning'!$I$61-'Retirement Planning'!$J$56)*'Retirement Planning'!$I$57+'Retirement Planning'!$K$56,(SUM(Z73:Z84)-'Retirement Planning'!$I$54-'Retirement Planning'!$I$61)*'Retirement Planning'!$I$56))))))/12,AA84)</f>
        <v>1225.3353634685652</v>
      </c>
      <c r="AB85" s="104">
        <f t="shared" ca="1" si="21"/>
        <v>0.19203695641619659</v>
      </c>
      <c r="AC85" s="7">
        <f>IF(B85&lt;65,'Retirement Planning'!$J$28,0)</f>
        <v>583</v>
      </c>
      <c r="AD85" s="7">
        <f>IF(B85&lt;65,'Retirement Planning'!$J$29/12,0)</f>
        <v>291.66666666666669</v>
      </c>
      <c r="AE85" s="22">
        <f>'Retirement Planning'!$J$31/12</f>
        <v>58.333333333333336</v>
      </c>
      <c r="AF85" s="22">
        <f>'Retirement Planning'!$J$32/12</f>
        <v>66.666666666666671</v>
      </c>
      <c r="AG85" s="7">
        <f>IF($B85&gt;64.9,'Retirement Planning'!$J$39/12,0)</f>
        <v>0</v>
      </c>
      <c r="AH85" s="7">
        <f>IF($B85&gt;64.9,'Retirement Planning'!$J$40/12,0)</f>
        <v>0</v>
      </c>
      <c r="AI85" s="7">
        <f>IF($B85&gt;64.9,'Retirement Planning'!$J$41/12,0)</f>
        <v>0</v>
      </c>
      <c r="AJ85" s="7">
        <f t="shared" ca="1" si="31"/>
        <v>641.33333333333337</v>
      </c>
      <c r="AK85" s="3" t="str">
        <f t="shared" ca="1" si="32"/>
        <v>N/A</v>
      </c>
      <c r="AL85" s="6" t="str">
        <f t="shared" ca="1" si="33"/>
        <v>N/A</v>
      </c>
      <c r="AM85" s="7">
        <f t="shared" ca="1" si="34"/>
        <v>1.1368683772161603E-13</v>
      </c>
      <c r="AN85" s="7">
        <f t="shared" ca="1" si="35"/>
        <v>8606.7157428605205</v>
      </c>
      <c r="AO85" s="7">
        <f t="shared" si="36"/>
        <v>999.66666666666674</v>
      </c>
    </row>
    <row r="86" spans="1:41" x14ac:dyDescent="0.2">
      <c r="A86">
        <f t="shared" si="37"/>
        <v>50</v>
      </c>
      <c r="B86" s="5">
        <f t="shared" si="38"/>
        <v>62.6</v>
      </c>
      <c r="C86" s="56">
        <f t="shared" si="39"/>
        <v>48731</v>
      </c>
      <c r="D86" s="57">
        <f ca="1">IF(AND(B85&lt;59.5,OR(B86&gt;59.5,B86=59.5)),(D85-E85+J85-K85)*(1+'Retirement Planning'!$J$23/12),(D85-E85)*(1+'Retirement Planning'!$J$23/12))</f>
        <v>259998.73185174057</v>
      </c>
      <c r="E86" s="58">
        <f t="shared" ca="1" si="26"/>
        <v>846.28403521748987</v>
      </c>
      <c r="F86" s="57">
        <f ca="1">IF(AND(OR(B86&gt;59.5,B86=59.5),B85&lt;59.5),(F85-G85+L85-M85+N85-O85)*(1+'Retirement Planning'!$J$23/12),(F85-G85)*(1+'Retirement Planning'!$J$23/12))</f>
        <v>1105486.8268146464</v>
      </c>
      <c r="G86" s="58">
        <f ca="1">IF(AND($B$10&lt;55,B86&lt;59.5),'Retirement Planning'!$J$25,IF(OR(B86&gt;59.5,B86=59.5),MAX(0,MIN(F86,IF(D86&lt;2500,((Y86+AJ86+AA86))-X86,((Y86+AJ86+AA86)*'Retirement Planning'!$J$44)-X86))),0))</f>
        <v>5467.5897517170215</v>
      </c>
      <c r="H86" s="255">
        <f ca="1">IF(MONTH(C86)=1,IF(B86&gt;69.5,F86/(INDEX('Retirement Planning'!D$1:D$264,(160+INT(B86))))/12,0),IF(F86=0,0,H85))</f>
        <v>0</v>
      </c>
      <c r="I86" s="262">
        <f t="shared" ca="1" si="27"/>
        <v>0</v>
      </c>
      <c r="J86" s="254">
        <f ca="1">IF(AND(B85&lt;59.5,OR(B86=59.5,B86&gt;59.5)),0,(J85-K85)*(1+'Retirement Planning'!$J$23/12))</f>
        <v>0</v>
      </c>
      <c r="K86" s="58">
        <f t="shared" ca="1" si="28"/>
        <v>0</v>
      </c>
      <c r="L86" s="57">
        <f>IF(AND(OR(B86&gt;59.5,B86=59.5),B85&lt;59.5),0,(L85-M85)*(1+'Retirement Planning'!$J$23/12))</f>
        <v>0</v>
      </c>
      <c r="M86" s="59">
        <f>IF(AND($B$10&lt;55,B86&lt;59.5),0,IF(B86&lt;59.5,MAX(0,MIN((($Y86+$AJ86+AA86)*'Retirement Planning'!$J$44)-$G86-$X86,L86)),0))</f>
        <v>0</v>
      </c>
      <c r="N86" s="57">
        <f ca="1">(N85-O85)*(1+'Retirement Planning'!$J$23/12)</f>
        <v>0</v>
      </c>
      <c r="O86" s="59">
        <f ca="1">IF(B86&gt;59.5,MAX(0,MIN((AA86+$Y86+$AJ86)*(IF(D86&lt;(MIN(E74:E85)+1),1,'Retirement Planning'!$J$44))-M86-$G86-$X86-(IF(D86&lt;(MIN(E74:E85)+1),D86,0)),N86)),0)</f>
        <v>0</v>
      </c>
      <c r="P86" s="57">
        <f t="shared" si="40"/>
        <v>0</v>
      </c>
      <c r="Q86" s="58">
        <f t="shared" si="41"/>
        <v>0</v>
      </c>
      <c r="R86" s="57">
        <f ca="1">(R85-S85-T85)*(1+'Retirement Planning'!$J$23/12)</f>
        <v>254019.39727735458</v>
      </c>
      <c r="S86" s="58">
        <f t="shared" ca="1" si="42"/>
        <v>358.33333333333337</v>
      </c>
      <c r="T86" s="273">
        <f t="shared" ca="1" si="29"/>
        <v>-1.1368683772161603E-12</v>
      </c>
      <c r="U86" s="57">
        <f ca="1">(U85-V85)*(1+'Retirement Planning'!$J$23/12)</f>
        <v>217228.55886988479</v>
      </c>
      <c r="V86" s="24">
        <f ca="1">IF(AND($B$10&lt;55,B86&lt;59.5),MIN(U86,MAX(0,(Y86+AA86+AJ86-G86)*'Retirement Planning'!$J$45)),IF(B86&lt;59.5,(MIN(U86,MAX(0,((Y86+AA86+AJ86)-G86-M86)*'Retirement Planning'!$J$45))),MIN(U86,MAX(0,(Y86+AA86+AJ86-G86-M86-K86-X86)*'Retirement Planning'!$J$45))))</f>
        <v>720.90862259267681</v>
      </c>
      <c r="W86" s="7">
        <f t="shared" ca="1" si="30"/>
        <v>1836733.5148136262</v>
      </c>
      <c r="X86" s="7">
        <f>(IF(B86&gt;'Retirement Planning'!$J$34,IF('Retirement Planning'!$J$34=70,'Retirement Planning'!$J$37/12,IF('Retirement Planning'!$J$34=67,'Retirement Planning'!$J$36/12,'Retirement Planning'!$J$35/12)),0))*'Retirement Planning'!$J$38</f>
        <v>1213.6000000000001</v>
      </c>
      <c r="Y86" s="7">
        <f ca="1">'Retirement Planning'!$F$35*((1+'Retirement Planning'!$J$24)^(YEAR('Projected Retirement Drawdown'!C86)-YEAR(TODAY())))</f>
        <v>6381.713712725289</v>
      </c>
      <c r="Z86" s="7">
        <f ca="1">G86+M86+O86+0.85*X86+V86*'Retirement Planning'!$J$46+T86</f>
        <v>6895.6494941429928</v>
      </c>
      <c r="AA86" s="7">
        <f ca="1">IF(MONTH(C86)=1,(((MIN(MAX(0,((SUM(Z74:Z85)-'Retirement Planning'!$I$53-'Retirement Planning'!$I$54)-'Retirement Planning'!$J$51)*'Retirement Planning'!$I$52))))+(MIN(MAX(0,((SUM(Z74:Z85)-'Retirement Planning'!$I$53-'Retirement Planning'!$I$54)-'Retirement Planning'!$J$50)*'Retirement Planning'!$I$51),('Retirement Planning'!$J$51-'Retirement Planning'!$J$50)*'Retirement Planning'!$I$51))+(MIN(MAX(0,((SUM(Z74:Z85)-'Retirement Planning'!$I$53-'Retirement Planning'!$I$54)-'Retirement Planning'!$J$49)*'Retirement Planning'!$I$50),('Retirement Planning'!$J$50-'Retirement Planning'!$J$49)*'Retirement Planning'!$I$50)+MIN(MAX(0,((SUM(Z74:Z85)-'Retirement Planning'!$I$53-'Retirement Planning'!$I$54)-'Retirement Planning'!$J$48)*'Retirement Planning'!$I$49),('Retirement Planning'!$J$49-'Retirement Planning'!$J$48)*'Retirement Planning'!$I$49)+MIN(((SUM(Z74:Z85)-'Retirement Planning'!$I$53-'Retirement Planning'!$I$54))*'Retirement Planning'!$I$48,('Retirement Planning'!$J$48)*'Retirement Planning'!$I$48))+(IF((SUM(Z74:Z85)-'Retirement Planning'!$I$54-'Retirement Planning'!$I$61)&gt;'Retirement Planning'!$J$59,(SUM(Z74:Z85)-'Retirement Planning'!$I$54-'Retirement Planning'!$I$61-'Retirement Planning'!$J$59)*'Retirement Planning'!$I$60+'Retirement Planning'!$K$59,IF((SUM(Z74:Z85)-'Retirement Planning'!$I$54-'Retirement Planning'!$I$61)&gt;'Retirement Planning'!$J$58,(SUM(Z74:Z85)-'Retirement Planning'!$I$54-'Retirement Planning'!$I$61-'Retirement Planning'!$J$58)*'Retirement Planning'!$I$59+'Retirement Planning'!$K$58,IF((SUM(Z74:Z85)-'Retirement Planning'!$I$54-'Retirement Planning'!$I$61)&gt;'Retirement Planning'!$J$57,(SUM(Z74:Z85)-'Retirement Planning'!$I$54-'Retirement Planning'!$I$61-'Retirement Planning'!$J$57)*'Retirement Planning'!$I$58+'Retirement Planning'!$K$57,IF((SUM(Z74:Z85)-'Retirement Planning'!$I$54-'Retirement Planning'!$I$61)&gt;'Retirement Planning'!$J$56,(SUM(Z74:Z85)-'Retirement Planning'!$I$54-'Retirement Planning'!$I$61-'Retirement Planning'!$J$56)*'Retirement Planning'!$I$57+'Retirement Planning'!$K$56,(SUM(Z74:Z85)-'Retirement Planning'!$I$54-'Retirement Planning'!$I$61)*'Retirement Planning'!$I$56))))))/12,AA85)</f>
        <v>1225.3353634685652</v>
      </c>
      <c r="AB86" s="104">
        <f t="shared" ca="1" si="21"/>
        <v>0.19203695641619659</v>
      </c>
      <c r="AC86" s="7">
        <f>IF(B86&lt;65,'Retirement Planning'!$J$28,0)</f>
        <v>583</v>
      </c>
      <c r="AD86" s="7">
        <f>IF(B86&lt;65,'Retirement Planning'!$J$29/12,0)</f>
        <v>291.66666666666669</v>
      </c>
      <c r="AE86" s="22">
        <f>'Retirement Planning'!$J$31/12</f>
        <v>58.333333333333336</v>
      </c>
      <c r="AF86" s="22">
        <f>'Retirement Planning'!$J$32/12</f>
        <v>66.666666666666671</v>
      </c>
      <c r="AG86" s="7">
        <f>IF($B86&gt;64.9,'Retirement Planning'!$J$39/12,0)</f>
        <v>0</v>
      </c>
      <c r="AH86" s="7">
        <f>IF($B86&gt;64.9,'Retirement Planning'!$J$40/12,0)</f>
        <v>0</v>
      </c>
      <c r="AI86" s="7">
        <f>IF($B86&gt;64.9,'Retirement Planning'!$J$41/12,0)</f>
        <v>0</v>
      </c>
      <c r="AJ86" s="7">
        <f t="shared" ca="1" si="31"/>
        <v>641.33333333333337</v>
      </c>
      <c r="AK86" s="3" t="str">
        <f t="shared" ca="1" si="32"/>
        <v>N/A</v>
      </c>
      <c r="AL86" s="6" t="str">
        <f t="shared" ca="1" si="33"/>
        <v>N/A</v>
      </c>
      <c r="AM86" s="7">
        <f t="shared" ca="1" si="34"/>
        <v>1.1368683772161603E-13</v>
      </c>
      <c r="AN86" s="7">
        <f t="shared" ca="1" si="35"/>
        <v>8606.7157428605205</v>
      </c>
      <c r="AO86" s="7">
        <f t="shared" si="36"/>
        <v>999.66666666666674</v>
      </c>
    </row>
    <row r="87" spans="1:41" x14ac:dyDescent="0.2">
      <c r="A87">
        <f t="shared" si="37"/>
        <v>50</v>
      </c>
      <c r="B87" s="5">
        <f t="shared" si="38"/>
        <v>62.7</v>
      </c>
      <c r="C87" s="56">
        <f t="shared" si="39"/>
        <v>48761</v>
      </c>
      <c r="D87" s="57">
        <f ca="1">IF(AND(B86&lt;59.5,OR(B87&gt;59.5,B87=59.5)),(D86-E86+J86-K86)*(1+'Retirement Planning'!$J$23/12),(D86-E86)*(1+'Retirement Planning'!$J$23/12))</f>
        <v>260988.11098855679</v>
      </c>
      <c r="E87" s="58">
        <f t="shared" ca="1" si="26"/>
        <v>846.28403521748987</v>
      </c>
      <c r="F87" s="57">
        <f ca="1">IF(AND(OR(B87&gt;59.5,B87=59.5),B86&lt;59.5),(F86-G86+L86-M86+N86-O86)*(1+'Retirement Planning'!$J$23/12),(F86-G86)*(1+'Retirement Planning'!$J$23/12))</f>
        <v>1107811.0399921252</v>
      </c>
      <c r="G87" s="58">
        <f ca="1">IF(AND($B$10&lt;55,B87&lt;59.5),'Retirement Planning'!$J$25,IF(OR(B87&gt;59.5,B87=59.5),MAX(0,MIN(F87,IF(D87&lt;2500,((Y87+AJ87+AA87))-X87,((Y87+AJ87+AA87)*'Retirement Planning'!$J$44)-X87))),0))</f>
        <v>5467.5897517170215</v>
      </c>
      <c r="H87" s="255">
        <f ca="1">IF(MONTH(C87)=1,IF(B87&gt;69.5,F87/(INDEX('Retirement Planning'!D$1:D$264,(160+INT(B87))))/12,0),IF(F87=0,0,H86))</f>
        <v>0</v>
      </c>
      <c r="I87" s="262">
        <f t="shared" ca="1" si="27"/>
        <v>0</v>
      </c>
      <c r="J87" s="254">
        <f ca="1">IF(AND(B86&lt;59.5,OR(B87=59.5,B87&gt;59.5)),0,(J86-K86)*(1+'Retirement Planning'!$J$23/12))</f>
        <v>0</v>
      </c>
      <c r="K87" s="58">
        <f t="shared" ca="1" si="28"/>
        <v>0</v>
      </c>
      <c r="L87" s="57">
        <f>IF(AND(OR(B87&gt;59.5,B87=59.5),B86&lt;59.5),0,(L86-M86)*(1+'Retirement Planning'!$J$23/12))</f>
        <v>0</v>
      </c>
      <c r="M87" s="59">
        <f>IF(AND($B$10&lt;55,B87&lt;59.5),0,IF(B87&lt;59.5,MAX(0,MIN((($Y87+$AJ87+AA87)*'Retirement Planning'!$J$44)-$G87-$X87,L87)),0))</f>
        <v>0</v>
      </c>
      <c r="N87" s="57">
        <f ca="1">(N86-O86)*(1+'Retirement Planning'!$J$23/12)</f>
        <v>0</v>
      </c>
      <c r="O87" s="59">
        <f ca="1">IF(B87&gt;59.5,MAX(0,MIN((AA87+$Y87+$AJ87)*(IF(D87&lt;(MIN(E75:E86)+1),1,'Retirement Planning'!$J$44))-M87-$G87-$X87-(IF(D87&lt;(MIN(E75:E86)+1),D87,0)),N87)),0)</f>
        <v>0</v>
      </c>
      <c r="P87" s="57">
        <f t="shared" si="40"/>
        <v>0</v>
      </c>
      <c r="Q87" s="58">
        <f t="shared" si="41"/>
        <v>0</v>
      </c>
      <c r="R87" s="57">
        <f ca="1">(R86-S86-T86)*(1+'Retirement Planning'!$J$23/12)</f>
        <v>255457.82981362473</v>
      </c>
      <c r="S87" s="58">
        <f t="shared" ca="1" si="42"/>
        <v>358.33333333333337</v>
      </c>
      <c r="T87" s="273">
        <f t="shared" ca="1" si="29"/>
        <v>-1.1368683772161603E-12</v>
      </c>
      <c r="U87" s="57">
        <f ca="1">(U86-V86)*(1+'Retirement Planning'!$J$23/12)</f>
        <v>218041.2461032104</v>
      </c>
      <c r="V87" s="24">
        <f ca="1">IF(AND($B$10&lt;55,B87&lt;59.5),MIN(U87,MAX(0,(Y87+AA87+AJ87-G87)*'Retirement Planning'!$J$45)),IF(B87&lt;59.5,(MIN(U87,MAX(0,((Y87+AA87+AJ87)-G87-M87)*'Retirement Planning'!$J$45))),MIN(U87,MAX(0,(Y87+AA87+AJ87-G87-M87-K87-X87)*'Retirement Planning'!$J$45))))</f>
        <v>720.90862259267681</v>
      </c>
      <c r="W87" s="7">
        <f t="shared" ca="1" si="30"/>
        <v>1842298.2268975172</v>
      </c>
      <c r="X87" s="7">
        <f>(IF(B87&gt;'Retirement Planning'!$J$34,IF('Retirement Planning'!$J$34=70,'Retirement Planning'!$J$37/12,IF('Retirement Planning'!$J$34=67,'Retirement Planning'!$J$36/12,'Retirement Planning'!$J$35/12)),0))*'Retirement Planning'!$J$38</f>
        <v>1213.6000000000001</v>
      </c>
      <c r="Y87" s="7">
        <f ca="1">'Retirement Planning'!$F$35*((1+'Retirement Planning'!$J$24)^(YEAR('Projected Retirement Drawdown'!C87)-YEAR(TODAY())))</f>
        <v>6381.713712725289</v>
      </c>
      <c r="Z87" s="7">
        <f ca="1">G87+M87+O87+0.85*X87+V87*'Retirement Planning'!$J$46+T87</f>
        <v>6895.6494941429928</v>
      </c>
      <c r="AA87" s="7">
        <f ca="1">IF(MONTH(C87)=1,(((MIN(MAX(0,((SUM(Z75:Z86)-'Retirement Planning'!$I$53-'Retirement Planning'!$I$54)-'Retirement Planning'!$J$51)*'Retirement Planning'!$I$52))))+(MIN(MAX(0,((SUM(Z75:Z86)-'Retirement Planning'!$I$53-'Retirement Planning'!$I$54)-'Retirement Planning'!$J$50)*'Retirement Planning'!$I$51),('Retirement Planning'!$J$51-'Retirement Planning'!$J$50)*'Retirement Planning'!$I$51))+(MIN(MAX(0,((SUM(Z75:Z86)-'Retirement Planning'!$I$53-'Retirement Planning'!$I$54)-'Retirement Planning'!$J$49)*'Retirement Planning'!$I$50),('Retirement Planning'!$J$50-'Retirement Planning'!$J$49)*'Retirement Planning'!$I$50)+MIN(MAX(0,((SUM(Z75:Z86)-'Retirement Planning'!$I$53-'Retirement Planning'!$I$54)-'Retirement Planning'!$J$48)*'Retirement Planning'!$I$49),('Retirement Planning'!$J$49-'Retirement Planning'!$J$48)*'Retirement Planning'!$I$49)+MIN(((SUM(Z75:Z86)-'Retirement Planning'!$I$53-'Retirement Planning'!$I$54))*'Retirement Planning'!$I$48,('Retirement Planning'!$J$48)*'Retirement Planning'!$I$48))+(IF((SUM(Z75:Z86)-'Retirement Planning'!$I$54-'Retirement Planning'!$I$61)&gt;'Retirement Planning'!$J$59,(SUM(Z75:Z86)-'Retirement Planning'!$I$54-'Retirement Planning'!$I$61-'Retirement Planning'!$J$59)*'Retirement Planning'!$I$60+'Retirement Planning'!$K$59,IF((SUM(Z75:Z86)-'Retirement Planning'!$I$54-'Retirement Planning'!$I$61)&gt;'Retirement Planning'!$J$58,(SUM(Z75:Z86)-'Retirement Planning'!$I$54-'Retirement Planning'!$I$61-'Retirement Planning'!$J$58)*'Retirement Planning'!$I$59+'Retirement Planning'!$K$58,IF((SUM(Z75:Z86)-'Retirement Planning'!$I$54-'Retirement Planning'!$I$61)&gt;'Retirement Planning'!$J$57,(SUM(Z75:Z86)-'Retirement Planning'!$I$54-'Retirement Planning'!$I$61-'Retirement Planning'!$J$57)*'Retirement Planning'!$I$58+'Retirement Planning'!$K$57,IF((SUM(Z75:Z86)-'Retirement Planning'!$I$54-'Retirement Planning'!$I$61)&gt;'Retirement Planning'!$J$56,(SUM(Z75:Z86)-'Retirement Planning'!$I$54-'Retirement Planning'!$I$61-'Retirement Planning'!$J$56)*'Retirement Planning'!$I$57+'Retirement Planning'!$K$56,(SUM(Z75:Z86)-'Retirement Planning'!$I$54-'Retirement Planning'!$I$61)*'Retirement Planning'!$I$56))))))/12,AA86)</f>
        <v>1225.3353634685652</v>
      </c>
      <c r="AB87" s="104">
        <f t="shared" ca="1" si="21"/>
        <v>0.19203695641619659</v>
      </c>
      <c r="AC87" s="7">
        <f>IF(B87&lt;65,'Retirement Planning'!$J$28,0)</f>
        <v>583</v>
      </c>
      <c r="AD87" s="7">
        <f>IF(B87&lt;65,'Retirement Planning'!$J$29/12,0)</f>
        <v>291.66666666666669</v>
      </c>
      <c r="AE87" s="22">
        <f>'Retirement Planning'!$J$31/12</f>
        <v>58.333333333333336</v>
      </c>
      <c r="AF87" s="22">
        <f>'Retirement Planning'!$J$32/12</f>
        <v>66.666666666666671</v>
      </c>
      <c r="AG87" s="7">
        <f>IF($B87&gt;64.9,'Retirement Planning'!$J$39/12,0)</f>
        <v>0</v>
      </c>
      <c r="AH87" s="7">
        <f>IF($B87&gt;64.9,'Retirement Planning'!$J$40/12,0)</f>
        <v>0</v>
      </c>
      <c r="AI87" s="7">
        <f>IF($B87&gt;64.9,'Retirement Planning'!$J$41/12,0)</f>
        <v>0</v>
      </c>
      <c r="AJ87" s="7">
        <f t="shared" ca="1" si="31"/>
        <v>641.33333333333337</v>
      </c>
      <c r="AK87" s="3" t="str">
        <f t="shared" ca="1" si="32"/>
        <v>N/A</v>
      </c>
      <c r="AL87" s="6" t="str">
        <f t="shared" ca="1" si="33"/>
        <v>N/A</v>
      </c>
      <c r="AM87" s="7">
        <f t="shared" ca="1" si="34"/>
        <v>1.1368683772161603E-13</v>
      </c>
      <c r="AN87" s="7">
        <f t="shared" ca="1" si="35"/>
        <v>8606.7157428605205</v>
      </c>
      <c r="AO87" s="7">
        <f t="shared" si="36"/>
        <v>999.66666666666674</v>
      </c>
    </row>
    <row r="88" spans="1:41" x14ac:dyDescent="0.2">
      <c r="A88">
        <f t="shared" si="37"/>
        <v>50</v>
      </c>
      <c r="B88" s="5">
        <f t="shared" si="38"/>
        <v>62.8</v>
      </c>
      <c r="C88" s="56">
        <f t="shared" si="39"/>
        <v>48792</v>
      </c>
      <c r="D88" s="57">
        <f ca="1">IF(AND(B87&lt;59.5,OR(B88&gt;59.5,B88=59.5)),(D87-E87+J87-K87)*(1+'Retirement Planning'!$J$23/12),(D87-E87)*(1+'Retirement Planning'!$J$23/12))</f>
        <v>261984.49822759212</v>
      </c>
      <c r="E88" s="58">
        <f t="shared" ca="1" si="26"/>
        <v>846.28403521748987</v>
      </c>
      <c r="F88" s="57">
        <f ca="1">IF(AND(OR(B88&gt;59.5,B88=59.5),B87&lt;59.5),(F87-G87+L87-M87+N87-O87)*(1+'Retirement Planning'!$J$23/12),(F87-G87)*(1+'Retirement Planning'!$J$23/12))</f>
        <v>1110151.7163462779</v>
      </c>
      <c r="G88" s="58">
        <f ca="1">IF(AND($B$10&lt;55,B88&lt;59.5),'Retirement Planning'!$J$25,IF(OR(B88&gt;59.5,B88=59.5),MAX(0,MIN(F88,IF(D88&lt;2500,((Y88+AJ88+AA88))-X88,((Y88+AJ88+AA88)*'Retirement Planning'!$J$44)-X88))),0))</f>
        <v>5467.5897517170215</v>
      </c>
      <c r="H88" s="255">
        <f ca="1">IF(MONTH(C88)=1,IF(B88&gt;69.5,F88/(INDEX('Retirement Planning'!D$1:D$264,(160+INT(B88))))/12,0),IF(F88=0,0,H87))</f>
        <v>0</v>
      </c>
      <c r="I88" s="262">
        <f t="shared" ca="1" si="27"/>
        <v>0</v>
      </c>
      <c r="J88" s="254">
        <f ca="1">IF(AND(B87&lt;59.5,OR(B88=59.5,B88&gt;59.5)),0,(J87-K87)*(1+'Retirement Planning'!$J$23/12))</f>
        <v>0</v>
      </c>
      <c r="K88" s="58">
        <f t="shared" ca="1" si="28"/>
        <v>0</v>
      </c>
      <c r="L88" s="57">
        <f>IF(AND(OR(B88&gt;59.5,B88=59.5),B87&lt;59.5),0,(L87-M87)*(1+'Retirement Planning'!$J$23/12))</f>
        <v>0</v>
      </c>
      <c r="M88" s="59">
        <f>IF(AND($B$10&lt;55,B88&lt;59.5),0,IF(B88&lt;59.5,MAX(0,MIN((($Y88+$AJ88+AA88)*'Retirement Planning'!$J$44)-$G88-$X88,L88)),0))</f>
        <v>0</v>
      </c>
      <c r="N88" s="57">
        <f ca="1">(N87-O87)*(1+'Retirement Planning'!$J$23/12)</f>
        <v>0</v>
      </c>
      <c r="O88" s="59">
        <f ca="1">IF(B88&gt;59.5,MAX(0,MIN((AA88+$Y88+$AJ88)*(IF(D88&lt;(MIN(E76:E87)+1),1,'Retirement Planning'!$J$44))-M88-$G88-$X88-(IF(D88&lt;(MIN(E76:E87)+1),D88,0)),N88)),0)</f>
        <v>0</v>
      </c>
      <c r="P88" s="57">
        <f t="shared" si="40"/>
        <v>0</v>
      </c>
      <c r="Q88" s="58">
        <f t="shared" si="41"/>
        <v>0</v>
      </c>
      <c r="R88" s="57">
        <f ca="1">(R87-S87-T87)*(1+'Retirement Planning'!$J$23/12)</f>
        <v>256906.45124702679</v>
      </c>
      <c r="S88" s="58">
        <f t="shared" ca="1" si="42"/>
        <v>358.33333333333337</v>
      </c>
      <c r="T88" s="273">
        <f t="shared" ca="1" si="29"/>
        <v>-1.1368683772161603E-12</v>
      </c>
      <c r="U88" s="57">
        <f ca="1">(U87-V87)*(1+'Retirement Planning'!$J$23/12)</f>
        <v>218859.68987110542</v>
      </c>
      <c r="V88" s="24">
        <f ca="1">IF(AND($B$10&lt;55,B88&lt;59.5),MIN(U88,MAX(0,(Y88+AA88+AJ88-G88)*'Retirement Planning'!$J$45)),IF(B88&lt;59.5,(MIN(U88,MAX(0,((Y88+AA88+AJ88)-G88-M88)*'Retirement Planning'!$J$45))),MIN(U88,MAX(0,(Y88+AA88+AJ88-G88-M88-K88-X88)*'Retirement Planning'!$J$45))))</f>
        <v>720.90862259267681</v>
      </c>
      <c r="W88" s="7">
        <f t="shared" ca="1" si="30"/>
        <v>1847902.355692002</v>
      </c>
      <c r="X88" s="7">
        <f>(IF(B88&gt;'Retirement Planning'!$J$34,IF('Retirement Planning'!$J$34=70,'Retirement Planning'!$J$37/12,IF('Retirement Planning'!$J$34=67,'Retirement Planning'!$J$36/12,'Retirement Planning'!$J$35/12)),0))*'Retirement Planning'!$J$38</f>
        <v>1213.6000000000001</v>
      </c>
      <c r="Y88" s="7">
        <f ca="1">'Retirement Planning'!$F$35*((1+'Retirement Planning'!$J$24)^(YEAR('Projected Retirement Drawdown'!C88)-YEAR(TODAY())))</f>
        <v>6381.713712725289</v>
      </c>
      <c r="Z88" s="7">
        <f ca="1">G88+M88+O88+0.85*X88+V88*'Retirement Planning'!$J$46+T88</f>
        <v>6895.6494941429928</v>
      </c>
      <c r="AA88" s="7">
        <f ca="1">IF(MONTH(C88)=1,(((MIN(MAX(0,((SUM(Z76:Z87)-'Retirement Planning'!$I$53-'Retirement Planning'!$I$54)-'Retirement Planning'!$J$51)*'Retirement Planning'!$I$52))))+(MIN(MAX(0,((SUM(Z76:Z87)-'Retirement Planning'!$I$53-'Retirement Planning'!$I$54)-'Retirement Planning'!$J$50)*'Retirement Planning'!$I$51),('Retirement Planning'!$J$51-'Retirement Planning'!$J$50)*'Retirement Planning'!$I$51))+(MIN(MAX(0,((SUM(Z76:Z87)-'Retirement Planning'!$I$53-'Retirement Planning'!$I$54)-'Retirement Planning'!$J$49)*'Retirement Planning'!$I$50),('Retirement Planning'!$J$50-'Retirement Planning'!$J$49)*'Retirement Planning'!$I$50)+MIN(MAX(0,((SUM(Z76:Z87)-'Retirement Planning'!$I$53-'Retirement Planning'!$I$54)-'Retirement Planning'!$J$48)*'Retirement Planning'!$I$49),('Retirement Planning'!$J$49-'Retirement Planning'!$J$48)*'Retirement Planning'!$I$49)+MIN(((SUM(Z76:Z87)-'Retirement Planning'!$I$53-'Retirement Planning'!$I$54))*'Retirement Planning'!$I$48,('Retirement Planning'!$J$48)*'Retirement Planning'!$I$48))+(IF((SUM(Z76:Z87)-'Retirement Planning'!$I$54-'Retirement Planning'!$I$61)&gt;'Retirement Planning'!$J$59,(SUM(Z76:Z87)-'Retirement Planning'!$I$54-'Retirement Planning'!$I$61-'Retirement Planning'!$J$59)*'Retirement Planning'!$I$60+'Retirement Planning'!$K$59,IF((SUM(Z76:Z87)-'Retirement Planning'!$I$54-'Retirement Planning'!$I$61)&gt;'Retirement Planning'!$J$58,(SUM(Z76:Z87)-'Retirement Planning'!$I$54-'Retirement Planning'!$I$61-'Retirement Planning'!$J$58)*'Retirement Planning'!$I$59+'Retirement Planning'!$K$58,IF((SUM(Z76:Z87)-'Retirement Planning'!$I$54-'Retirement Planning'!$I$61)&gt;'Retirement Planning'!$J$57,(SUM(Z76:Z87)-'Retirement Planning'!$I$54-'Retirement Planning'!$I$61-'Retirement Planning'!$J$57)*'Retirement Planning'!$I$58+'Retirement Planning'!$K$57,IF((SUM(Z76:Z87)-'Retirement Planning'!$I$54-'Retirement Planning'!$I$61)&gt;'Retirement Planning'!$J$56,(SUM(Z76:Z87)-'Retirement Planning'!$I$54-'Retirement Planning'!$I$61-'Retirement Planning'!$J$56)*'Retirement Planning'!$I$57+'Retirement Planning'!$K$56,(SUM(Z76:Z87)-'Retirement Planning'!$I$54-'Retirement Planning'!$I$61)*'Retirement Planning'!$I$56))))))/12,AA87)</f>
        <v>1225.3353634685652</v>
      </c>
      <c r="AB88" s="104">
        <f t="shared" ca="1" si="21"/>
        <v>0.19203695641619659</v>
      </c>
      <c r="AC88" s="7">
        <f>IF(B88&lt;65,'Retirement Planning'!$J$28,0)</f>
        <v>583</v>
      </c>
      <c r="AD88" s="7">
        <f>IF(B88&lt;65,'Retirement Planning'!$J$29/12,0)</f>
        <v>291.66666666666669</v>
      </c>
      <c r="AE88" s="22">
        <f>'Retirement Planning'!$J$31/12</f>
        <v>58.333333333333336</v>
      </c>
      <c r="AF88" s="22">
        <f>'Retirement Planning'!$J$32/12</f>
        <v>66.666666666666671</v>
      </c>
      <c r="AG88" s="7">
        <f>IF($B88&gt;64.9,'Retirement Planning'!$J$39/12,0)</f>
        <v>0</v>
      </c>
      <c r="AH88" s="7">
        <f>IF($B88&gt;64.9,'Retirement Planning'!$J$40/12,0)</f>
        <v>0</v>
      </c>
      <c r="AI88" s="7">
        <f>IF($B88&gt;64.9,'Retirement Planning'!$J$41/12,0)</f>
        <v>0</v>
      </c>
      <c r="AJ88" s="7">
        <f t="shared" ca="1" si="31"/>
        <v>641.33333333333337</v>
      </c>
      <c r="AK88" s="3" t="str">
        <f t="shared" ca="1" si="32"/>
        <v>N/A</v>
      </c>
      <c r="AL88" s="6" t="str">
        <f t="shared" ca="1" si="33"/>
        <v>N/A</v>
      </c>
      <c r="AM88" s="7">
        <f t="shared" ca="1" si="34"/>
        <v>1.1368683772161603E-13</v>
      </c>
      <c r="AN88" s="7">
        <f t="shared" ca="1" si="35"/>
        <v>8606.7157428605205</v>
      </c>
      <c r="AO88" s="7">
        <f t="shared" si="36"/>
        <v>999.66666666666674</v>
      </c>
    </row>
    <row r="89" spans="1:41" x14ac:dyDescent="0.2">
      <c r="A89">
        <f t="shared" si="37"/>
        <v>50</v>
      </c>
      <c r="B89" s="5">
        <f t="shared" si="38"/>
        <v>62.9</v>
      </c>
      <c r="C89" s="56">
        <f t="shared" si="39"/>
        <v>48823</v>
      </c>
      <c r="D89" s="57">
        <f ca="1">IF(AND(B88&lt;59.5,OR(B89&gt;59.5,B89=59.5)),(D88-E88+J88-K88)*(1+'Retirement Planning'!$J$23/12),(D88-E88)*(1+'Retirement Planning'!$J$23/12))</f>
        <v>262987.9432095706</v>
      </c>
      <c r="E89" s="58">
        <f t="shared" ca="1" si="26"/>
        <v>846.28403521748987</v>
      </c>
      <c r="F89" s="57">
        <f ca="1">IF(AND(OR(B89&gt;59.5,B89=59.5),B88&lt;59.5),(F88-G88+L88-M88+N88-O88)*(1+'Retirement Planning'!$J$23/12),(F88-G88)*(1+'Retirement Planning'!$J$23/12))</f>
        <v>1112508.9724912725</v>
      </c>
      <c r="G89" s="58">
        <f ca="1">IF(AND($B$10&lt;55,B89&lt;59.5),'Retirement Planning'!$J$25,IF(OR(B89&gt;59.5,B89=59.5),MAX(0,MIN(F89,IF(D89&lt;2500,((Y89+AJ89+AA89))-X89,((Y89+AJ89+AA89)*'Retirement Planning'!$J$44)-X89))),0))</f>
        <v>5467.5897517170215</v>
      </c>
      <c r="H89" s="255">
        <f ca="1">IF(MONTH(C89)=1,IF(B89&gt;69.5,F89/(INDEX('Retirement Planning'!D$1:D$264,(160+INT(B89))))/12,0),IF(F89=0,0,H88))</f>
        <v>0</v>
      </c>
      <c r="I89" s="262">
        <f t="shared" ca="1" si="27"/>
        <v>0</v>
      </c>
      <c r="J89" s="254">
        <f ca="1">IF(AND(B88&lt;59.5,OR(B89=59.5,B89&gt;59.5)),0,(J88-K88)*(1+'Retirement Planning'!$J$23/12))</f>
        <v>0</v>
      </c>
      <c r="K89" s="58">
        <f t="shared" ca="1" si="28"/>
        <v>0</v>
      </c>
      <c r="L89" s="57">
        <f>IF(AND(OR(B89&gt;59.5,B89=59.5),B88&lt;59.5),0,(L88-M88)*(1+'Retirement Planning'!$J$23/12))</f>
        <v>0</v>
      </c>
      <c r="M89" s="59">
        <f>IF(AND($B$10&lt;55,B89&lt;59.5),0,IF(B89&lt;59.5,MAX(0,MIN((($Y89+$AJ89+AA89)*'Retirement Planning'!$J$44)-$G89-$X89,L89)),0))</f>
        <v>0</v>
      </c>
      <c r="N89" s="57">
        <f ca="1">(N88-O88)*(1+'Retirement Planning'!$J$23/12)</f>
        <v>0</v>
      </c>
      <c r="O89" s="59">
        <f ca="1">IF(B89&gt;59.5,MAX(0,MIN((AA89+$Y89+$AJ89)*(IF(D89&lt;(MIN(E77:E88)+1),1,'Retirement Planning'!$J$44))-M89-$G89-$X89-(IF(D89&lt;(MIN(E77:E88)+1),D89,0)),N89)),0)</f>
        <v>0</v>
      </c>
      <c r="P89" s="57">
        <f t="shared" si="40"/>
        <v>0</v>
      </c>
      <c r="Q89" s="58">
        <f t="shared" si="41"/>
        <v>0</v>
      </c>
      <c r="R89" s="57">
        <f ca="1">(R88-S88-T88)*(1+'Retirement Planning'!$J$23/12)</f>
        <v>258365.33374891544</v>
      </c>
      <c r="S89" s="58">
        <f t="shared" ca="1" si="42"/>
        <v>358.33333333333337</v>
      </c>
      <c r="T89" s="273">
        <f t="shared" ca="1" si="29"/>
        <v>-1.1368683772161603E-12</v>
      </c>
      <c r="U89" s="57">
        <f ca="1">(U88-V88)*(1+'Retirement Planning'!$J$23/12)</f>
        <v>219683.93094902302</v>
      </c>
      <c r="V89" s="24">
        <f ca="1">IF(AND($B$10&lt;55,B89&lt;59.5),MIN(U89,MAX(0,(Y89+AA89+AJ89-G89)*'Retirement Planning'!$J$45)),IF(B89&lt;59.5,(MIN(U89,MAX(0,((Y89+AA89+AJ89)-G89-M89)*'Retirement Planning'!$J$45))),MIN(U89,MAX(0,(Y89+AA89+AJ89-G89-M89-K89-X89)*'Retirement Planning'!$J$45))))</f>
        <v>720.90862259267681</v>
      </c>
      <c r="W89" s="7">
        <f t="shared" ca="1" si="30"/>
        <v>1853546.1803987816</v>
      </c>
      <c r="X89" s="7">
        <f>(IF(B89&gt;'Retirement Planning'!$J$34,IF('Retirement Planning'!$J$34=70,'Retirement Planning'!$J$37/12,IF('Retirement Planning'!$J$34=67,'Retirement Planning'!$J$36/12,'Retirement Planning'!$J$35/12)),0))*'Retirement Planning'!$J$38</f>
        <v>1213.6000000000001</v>
      </c>
      <c r="Y89" s="7">
        <f ca="1">'Retirement Planning'!$F$35*((1+'Retirement Planning'!$J$24)^(YEAR('Projected Retirement Drawdown'!C89)-YEAR(TODAY())))</f>
        <v>6381.713712725289</v>
      </c>
      <c r="Z89" s="7">
        <f ca="1">G89+M89+O89+0.85*X89+V89*'Retirement Planning'!$J$46+T89</f>
        <v>6895.6494941429928</v>
      </c>
      <c r="AA89" s="7">
        <f ca="1">IF(MONTH(C89)=1,(((MIN(MAX(0,((SUM(Z77:Z88)-'Retirement Planning'!$I$53-'Retirement Planning'!$I$54)-'Retirement Planning'!$J$51)*'Retirement Planning'!$I$52))))+(MIN(MAX(0,((SUM(Z77:Z88)-'Retirement Planning'!$I$53-'Retirement Planning'!$I$54)-'Retirement Planning'!$J$50)*'Retirement Planning'!$I$51),('Retirement Planning'!$J$51-'Retirement Planning'!$J$50)*'Retirement Planning'!$I$51))+(MIN(MAX(0,((SUM(Z77:Z88)-'Retirement Planning'!$I$53-'Retirement Planning'!$I$54)-'Retirement Planning'!$J$49)*'Retirement Planning'!$I$50),('Retirement Planning'!$J$50-'Retirement Planning'!$J$49)*'Retirement Planning'!$I$50)+MIN(MAX(0,((SUM(Z77:Z88)-'Retirement Planning'!$I$53-'Retirement Planning'!$I$54)-'Retirement Planning'!$J$48)*'Retirement Planning'!$I$49),('Retirement Planning'!$J$49-'Retirement Planning'!$J$48)*'Retirement Planning'!$I$49)+MIN(((SUM(Z77:Z88)-'Retirement Planning'!$I$53-'Retirement Planning'!$I$54))*'Retirement Planning'!$I$48,('Retirement Planning'!$J$48)*'Retirement Planning'!$I$48))+(IF((SUM(Z77:Z88)-'Retirement Planning'!$I$54-'Retirement Planning'!$I$61)&gt;'Retirement Planning'!$J$59,(SUM(Z77:Z88)-'Retirement Planning'!$I$54-'Retirement Planning'!$I$61-'Retirement Planning'!$J$59)*'Retirement Planning'!$I$60+'Retirement Planning'!$K$59,IF((SUM(Z77:Z88)-'Retirement Planning'!$I$54-'Retirement Planning'!$I$61)&gt;'Retirement Planning'!$J$58,(SUM(Z77:Z88)-'Retirement Planning'!$I$54-'Retirement Planning'!$I$61-'Retirement Planning'!$J$58)*'Retirement Planning'!$I$59+'Retirement Planning'!$K$58,IF((SUM(Z77:Z88)-'Retirement Planning'!$I$54-'Retirement Planning'!$I$61)&gt;'Retirement Planning'!$J$57,(SUM(Z77:Z88)-'Retirement Planning'!$I$54-'Retirement Planning'!$I$61-'Retirement Planning'!$J$57)*'Retirement Planning'!$I$58+'Retirement Planning'!$K$57,IF((SUM(Z77:Z88)-'Retirement Planning'!$I$54-'Retirement Planning'!$I$61)&gt;'Retirement Planning'!$J$56,(SUM(Z77:Z88)-'Retirement Planning'!$I$54-'Retirement Planning'!$I$61-'Retirement Planning'!$J$56)*'Retirement Planning'!$I$57+'Retirement Planning'!$K$56,(SUM(Z77:Z88)-'Retirement Planning'!$I$54-'Retirement Planning'!$I$61)*'Retirement Planning'!$I$56))))))/12,AA88)</f>
        <v>1225.3353634685652</v>
      </c>
      <c r="AB89" s="104">
        <f t="shared" ca="1" si="21"/>
        <v>0.19203695641619659</v>
      </c>
      <c r="AC89" s="7">
        <f>IF(B89&lt;65,'Retirement Planning'!$J$28,0)</f>
        <v>583</v>
      </c>
      <c r="AD89" s="7">
        <f>IF(B89&lt;65,'Retirement Planning'!$J$29/12,0)</f>
        <v>291.66666666666669</v>
      </c>
      <c r="AE89" s="22">
        <f>'Retirement Planning'!$J$31/12</f>
        <v>58.333333333333336</v>
      </c>
      <c r="AF89" s="22">
        <f>'Retirement Planning'!$J$32/12</f>
        <v>66.666666666666671</v>
      </c>
      <c r="AG89" s="7">
        <f>IF($B89&gt;64.9,'Retirement Planning'!$J$39/12,0)</f>
        <v>0</v>
      </c>
      <c r="AH89" s="7">
        <f>IF($B89&gt;64.9,'Retirement Planning'!$J$40/12,0)</f>
        <v>0</v>
      </c>
      <c r="AI89" s="7">
        <f>IF($B89&gt;64.9,'Retirement Planning'!$J$41/12,0)</f>
        <v>0</v>
      </c>
      <c r="AJ89" s="7">
        <f t="shared" ca="1" si="31"/>
        <v>641.33333333333337</v>
      </c>
      <c r="AK89" s="3" t="str">
        <f t="shared" ca="1" si="32"/>
        <v>N/A</v>
      </c>
      <c r="AL89" s="6" t="str">
        <f t="shared" ca="1" si="33"/>
        <v>N/A</v>
      </c>
      <c r="AM89" s="7">
        <f t="shared" ca="1" si="34"/>
        <v>1.1368683772161603E-13</v>
      </c>
      <c r="AN89" s="7">
        <f t="shared" ca="1" si="35"/>
        <v>8606.7157428605205</v>
      </c>
      <c r="AO89" s="7">
        <f t="shared" si="36"/>
        <v>999.66666666666674</v>
      </c>
    </row>
    <row r="90" spans="1:41" x14ac:dyDescent="0.2">
      <c r="A90">
        <f t="shared" si="37"/>
        <v>50</v>
      </c>
      <c r="B90" s="5">
        <f t="shared" si="38"/>
        <v>63</v>
      </c>
      <c r="C90" s="56">
        <f t="shared" si="39"/>
        <v>48853</v>
      </c>
      <c r="D90" s="57">
        <f ca="1">IF(AND(B89&lt;59.5,OR(B90&gt;59.5,B90=59.5)),(D89-E89+J89-K89)*(1+'Retirement Planning'!$J$23/12),(D89-E89)*(1+'Retirement Planning'!$J$23/12))</f>
        <v>263998.49592683814</v>
      </c>
      <c r="E90" s="58">
        <f t="shared" ca="1" si="26"/>
        <v>846.28403521748987</v>
      </c>
      <c r="F90" s="57">
        <f ca="1">IF(AND(OR(B90&gt;59.5,B90=59.5),B89&lt;59.5),(F89-G89+L89-M89+N89-O89)*(1+'Retirement Planning'!$J$23/12),(F89-G89)*(1+'Retirement Planning'!$J$23/12))</f>
        <v>1114882.925867294</v>
      </c>
      <c r="G90" s="58">
        <f ca="1">IF(AND($B$10&lt;55,B90&lt;59.5),'Retirement Planning'!$J$25,IF(OR(B90&gt;59.5,B90=59.5),MAX(0,MIN(F90,IF(D90&lt;2500,((Y90+AJ90+AA90))-X90,((Y90+AJ90+AA90)*'Retirement Planning'!$J$44)-X90))),0))</f>
        <v>5467.5897517170215</v>
      </c>
      <c r="H90" s="255">
        <f ca="1">IF(MONTH(C90)=1,IF(B90&gt;69.5,F90/(INDEX('Retirement Planning'!D$1:D$264,(160+INT(B90))))/12,0),IF(F90=0,0,H89))</f>
        <v>0</v>
      </c>
      <c r="I90" s="262">
        <f t="shared" ca="1" si="27"/>
        <v>0</v>
      </c>
      <c r="J90" s="254">
        <f ca="1">IF(AND(B89&lt;59.5,OR(B90=59.5,B90&gt;59.5)),0,(J89-K89)*(1+'Retirement Planning'!$J$23/12))</f>
        <v>0</v>
      </c>
      <c r="K90" s="58">
        <f t="shared" ca="1" si="28"/>
        <v>0</v>
      </c>
      <c r="L90" s="57">
        <f>IF(AND(OR(B90&gt;59.5,B90=59.5),B89&lt;59.5),0,(L89-M89)*(1+'Retirement Planning'!$J$23/12))</f>
        <v>0</v>
      </c>
      <c r="M90" s="59">
        <f>IF(AND($B$10&lt;55,B90&lt;59.5),0,IF(B90&lt;59.5,MAX(0,MIN((($Y90+$AJ90+AA90)*'Retirement Planning'!$J$44)-$G90-$X90,L90)),0))</f>
        <v>0</v>
      </c>
      <c r="N90" s="57">
        <f ca="1">(N89-O89)*(1+'Retirement Planning'!$J$23/12)</f>
        <v>0</v>
      </c>
      <c r="O90" s="59">
        <f ca="1">IF(B90&gt;59.5,MAX(0,MIN((AA90+$Y90+$AJ90)*(IF(D90&lt;(MIN(E78:E89)+1),1,'Retirement Planning'!$J$44))-M90-$G90-$X90-(IF(D90&lt;(MIN(E78:E89)+1),D90,0)),N90)),0)</f>
        <v>0</v>
      </c>
      <c r="P90" s="57">
        <f t="shared" si="40"/>
        <v>0</v>
      </c>
      <c r="Q90" s="58">
        <f t="shared" si="41"/>
        <v>0</v>
      </c>
      <c r="R90" s="57">
        <f ca="1">(R89-S89-T89)*(1+'Retirement Planning'!$J$23/12)</f>
        <v>259834.55000185914</v>
      </c>
      <c r="S90" s="58">
        <f t="shared" ca="1" si="42"/>
        <v>358.33333333333337</v>
      </c>
      <c r="T90" s="273">
        <f t="shared" ca="1" si="29"/>
        <v>-1.1368683772161603E-12</v>
      </c>
      <c r="U90" s="57">
        <f ca="1">(U89-V89)*(1+'Retirement Planning'!$J$23/12)</f>
        <v>220514.01040124256</v>
      </c>
      <c r="V90" s="24">
        <f ca="1">IF(AND($B$10&lt;55,B90&lt;59.5),MIN(U90,MAX(0,(Y90+AA90+AJ90-G90)*'Retirement Planning'!$J$45)),IF(B90&lt;59.5,(MIN(U90,MAX(0,((Y90+AA90+AJ90)-G90-M90)*'Retirement Planning'!$J$45))),MIN(U90,MAX(0,(Y90+AA90+AJ90-G90-M90-K90-X90)*'Retirement Planning'!$J$45))))</f>
        <v>720.90862259267681</v>
      </c>
      <c r="W90" s="7">
        <f t="shared" ca="1" si="30"/>
        <v>1859229.9821972339</v>
      </c>
      <c r="X90" s="7">
        <f>(IF(B90&gt;'Retirement Planning'!$J$34,IF('Retirement Planning'!$J$34=70,'Retirement Planning'!$J$37/12,IF('Retirement Planning'!$J$34=67,'Retirement Planning'!$J$36/12,'Retirement Planning'!$J$35/12)),0))*'Retirement Planning'!$J$38</f>
        <v>1213.6000000000001</v>
      </c>
      <c r="Y90" s="7">
        <f ca="1">'Retirement Planning'!$F$35*((1+'Retirement Planning'!$J$24)^(YEAR('Projected Retirement Drawdown'!C90)-YEAR(TODAY())))</f>
        <v>6381.713712725289</v>
      </c>
      <c r="Z90" s="7">
        <f ca="1">G90+M90+O90+0.85*X90+V90*'Retirement Planning'!$J$46+T90</f>
        <v>6895.6494941429928</v>
      </c>
      <c r="AA90" s="7">
        <f ca="1">IF(MONTH(C90)=1,(((MIN(MAX(0,((SUM(Z78:Z89)-'Retirement Planning'!$I$53-'Retirement Planning'!$I$54)-'Retirement Planning'!$J$51)*'Retirement Planning'!$I$52))))+(MIN(MAX(0,((SUM(Z78:Z89)-'Retirement Planning'!$I$53-'Retirement Planning'!$I$54)-'Retirement Planning'!$J$50)*'Retirement Planning'!$I$51),('Retirement Planning'!$J$51-'Retirement Planning'!$J$50)*'Retirement Planning'!$I$51))+(MIN(MAX(0,((SUM(Z78:Z89)-'Retirement Planning'!$I$53-'Retirement Planning'!$I$54)-'Retirement Planning'!$J$49)*'Retirement Planning'!$I$50),('Retirement Planning'!$J$50-'Retirement Planning'!$J$49)*'Retirement Planning'!$I$50)+MIN(MAX(0,((SUM(Z78:Z89)-'Retirement Planning'!$I$53-'Retirement Planning'!$I$54)-'Retirement Planning'!$J$48)*'Retirement Planning'!$I$49),('Retirement Planning'!$J$49-'Retirement Planning'!$J$48)*'Retirement Planning'!$I$49)+MIN(((SUM(Z78:Z89)-'Retirement Planning'!$I$53-'Retirement Planning'!$I$54))*'Retirement Planning'!$I$48,('Retirement Planning'!$J$48)*'Retirement Planning'!$I$48))+(IF((SUM(Z78:Z89)-'Retirement Planning'!$I$54-'Retirement Planning'!$I$61)&gt;'Retirement Planning'!$J$59,(SUM(Z78:Z89)-'Retirement Planning'!$I$54-'Retirement Planning'!$I$61-'Retirement Planning'!$J$59)*'Retirement Planning'!$I$60+'Retirement Planning'!$K$59,IF((SUM(Z78:Z89)-'Retirement Planning'!$I$54-'Retirement Planning'!$I$61)&gt;'Retirement Planning'!$J$58,(SUM(Z78:Z89)-'Retirement Planning'!$I$54-'Retirement Planning'!$I$61-'Retirement Planning'!$J$58)*'Retirement Planning'!$I$59+'Retirement Planning'!$K$58,IF((SUM(Z78:Z89)-'Retirement Planning'!$I$54-'Retirement Planning'!$I$61)&gt;'Retirement Planning'!$J$57,(SUM(Z78:Z89)-'Retirement Planning'!$I$54-'Retirement Planning'!$I$61-'Retirement Planning'!$J$57)*'Retirement Planning'!$I$58+'Retirement Planning'!$K$57,IF((SUM(Z78:Z89)-'Retirement Planning'!$I$54-'Retirement Planning'!$I$61)&gt;'Retirement Planning'!$J$56,(SUM(Z78:Z89)-'Retirement Planning'!$I$54-'Retirement Planning'!$I$61-'Retirement Planning'!$J$56)*'Retirement Planning'!$I$57+'Retirement Planning'!$K$56,(SUM(Z78:Z89)-'Retirement Planning'!$I$54-'Retirement Planning'!$I$61)*'Retirement Planning'!$I$56))))))/12,AA89)</f>
        <v>1225.3353634685652</v>
      </c>
      <c r="AB90" s="104">
        <f t="shared" ca="1" si="21"/>
        <v>0.19203695641619659</v>
      </c>
      <c r="AC90" s="7">
        <f>IF(B90&lt;65,'Retirement Planning'!$J$28,0)</f>
        <v>583</v>
      </c>
      <c r="AD90" s="7">
        <f>IF(B90&lt;65,'Retirement Planning'!$J$29/12,0)</f>
        <v>291.66666666666669</v>
      </c>
      <c r="AE90" s="22">
        <f>'Retirement Planning'!$J$31/12</f>
        <v>58.333333333333336</v>
      </c>
      <c r="AF90" s="22">
        <f>'Retirement Planning'!$J$32/12</f>
        <v>66.666666666666671</v>
      </c>
      <c r="AG90" s="7">
        <f>IF($B90&gt;64.9,'Retirement Planning'!$J$39/12,0)</f>
        <v>0</v>
      </c>
      <c r="AH90" s="7">
        <f>IF($B90&gt;64.9,'Retirement Planning'!$J$40/12,0)</f>
        <v>0</v>
      </c>
      <c r="AI90" s="7">
        <f>IF($B90&gt;64.9,'Retirement Planning'!$J$41/12,0)</f>
        <v>0</v>
      </c>
      <c r="AJ90" s="7">
        <f t="shared" ca="1" si="31"/>
        <v>641.33333333333337</v>
      </c>
      <c r="AK90" s="3" t="str">
        <f t="shared" ca="1" si="32"/>
        <v>N/A</v>
      </c>
      <c r="AL90" s="6" t="str">
        <f t="shared" ca="1" si="33"/>
        <v>N/A</v>
      </c>
      <c r="AM90" s="7">
        <f t="shared" ca="1" si="34"/>
        <v>1.1368683772161603E-13</v>
      </c>
      <c r="AN90" s="7">
        <f t="shared" ca="1" si="35"/>
        <v>8606.7157428605205</v>
      </c>
      <c r="AO90" s="7">
        <f t="shared" si="36"/>
        <v>999.66666666666674</v>
      </c>
    </row>
    <row r="91" spans="1:41" x14ac:dyDescent="0.2">
      <c r="A91">
        <f t="shared" si="37"/>
        <v>50</v>
      </c>
      <c r="B91" s="5">
        <f t="shared" si="38"/>
        <v>63</v>
      </c>
      <c r="C91" s="56">
        <f t="shared" si="39"/>
        <v>48884</v>
      </c>
      <c r="D91" s="57">
        <f ca="1">IF(AND(B90&lt;59.5,OR(B91&gt;59.5,B91=59.5)),(D90-E90+J90-K90)*(1+'Retirement Planning'!$J$23/12),(D90-E90)*(1+'Retirement Planning'!$J$23/12))</f>
        <v>265016.20672585297</v>
      </c>
      <c r="E91" s="58">
        <f t="shared" ca="1" si="26"/>
        <v>846.28403521748987</v>
      </c>
      <c r="F91" s="57">
        <f ca="1">IF(AND(OR(B91&gt;59.5,B91=59.5),B90&lt;59.5),(F90-G90+L90-M90+N90-O90)*(1+'Retirement Planning'!$J$23/12),(F90-G90)*(1+'Retirement Planning'!$J$23/12))</f>
        <v>1117273.6947463958</v>
      </c>
      <c r="G91" s="58">
        <f ca="1">IF(AND($B$10&lt;55,B91&lt;59.5),'Retirement Planning'!$J$25,IF(OR(B91&gt;59.5,B91=59.5),MAX(0,MIN(F91,IF(D91&lt;2500,((Y91+AJ91+AA91))-X91,((Y91+AJ91+AA91)*'Retirement Planning'!$J$44)-X91))),0))</f>
        <v>5467.5897517170215</v>
      </c>
      <c r="H91" s="255">
        <f ca="1">IF(MONTH(C91)=1,IF(B91&gt;69.5,F91/(INDEX('Retirement Planning'!D$1:D$264,(160+INT(B91))))/12,0),IF(F91=0,0,H90))</f>
        <v>0</v>
      </c>
      <c r="I91" s="262">
        <f t="shared" ca="1" si="27"/>
        <v>0</v>
      </c>
      <c r="J91" s="254">
        <f ca="1">IF(AND(B90&lt;59.5,OR(B91=59.5,B91&gt;59.5)),0,(J90-K90)*(1+'Retirement Planning'!$J$23/12))</f>
        <v>0</v>
      </c>
      <c r="K91" s="58">
        <f t="shared" ca="1" si="28"/>
        <v>0</v>
      </c>
      <c r="L91" s="57">
        <f>IF(AND(OR(B91&gt;59.5,B91=59.5),B90&lt;59.5),0,(L90-M90)*(1+'Retirement Planning'!$J$23/12))</f>
        <v>0</v>
      </c>
      <c r="M91" s="59">
        <f>IF(AND($B$10&lt;55,B91&lt;59.5),0,IF(B91&lt;59.5,MAX(0,MIN((($Y91+$AJ91+AA91)*'Retirement Planning'!$J$44)-$G91-$X91,L91)),0))</f>
        <v>0</v>
      </c>
      <c r="N91" s="57">
        <f ca="1">(N90-O90)*(1+'Retirement Planning'!$J$23/12)</f>
        <v>0</v>
      </c>
      <c r="O91" s="59">
        <f ca="1">IF(B91&gt;59.5,MAX(0,MIN((AA91+$Y91+$AJ91)*(IF(D91&lt;(MIN(E79:E90)+1),1,'Retirement Planning'!$J$44))-M91-$G91-$X91-(IF(D91&lt;(MIN(E79:E90)+1),D91,0)),N91)),0)</f>
        <v>0</v>
      </c>
      <c r="P91" s="57">
        <f t="shared" si="40"/>
        <v>0</v>
      </c>
      <c r="Q91" s="58">
        <f t="shared" si="41"/>
        <v>0</v>
      </c>
      <c r="R91" s="57">
        <f ca="1">(R90-S90-T90)*(1+'Retirement Planning'!$J$23/12)</f>
        <v>261314.17320326119</v>
      </c>
      <c r="S91" s="58">
        <f t="shared" ca="1" si="42"/>
        <v>358.33333333333337</v>
      </c>
      <c r="T91" s="273">
        <f t="shared" ca="1" si="29"/>
        <v>-1.1368683772161603E-12</v>
      </c>
      <c r="U91" s="57">
        <f ca="1">(U90-V90)*(1+'Retirement Planning'!$J$23/12)</f>
        <v>221349.96958291531</v>
      </c>
      <c r="V91" s="24">
        <f ca="1">IF(AND($B$10&lt;55,B91&lt;59.5),MIN(U91,MAX(0,(Y91+AA91+AJ91-G91)*'Retirement Planning'!$J$45)),IF(B91&lt;59.5,(MIN(U91,MAX(0,((Y91+AA91+AJ91)-G91-M91)*'Retirement Planning'!$J$45))),MIN(U91,MAX(0,(Y91+AA91+AJ91-G91-M91-K91-X91)*'Retirement Planning'!$J$45))))</f>
        <v>720.90862259267681</v>
      </c>
      <c r="W91" s="7">
        <f t="shared" ca="1" si="30"/>
        <v>1864954.0442584252</v>
      </c>
      <c r="X91" s="7">
        <f>(IF(B91&gt;'Retirement Planning'!$J$34,IF('Retirement Planning'!$J$34=70,'Retirement Planning'!$J$37/12,IF('Retirement Planning'!$J$34=67,'Retirement Planning'!$J$36/12,'Retirement Planning'!$J$35/12)),0))*'Retirement Planning'!$J$38</f>
        <v>1213.6000000000001</v>
      </c>
      <c r="Y91" s="7">
        <f ca="1">'Retirement Planning'!$F$35*((1+'Retirement Planning'!$J$24)^(YEAR('Projected Retirement Drawdown'!C91)-YEAR(TODAY())))</f>
        <v>6381.713712725289</v>
      </c>
      <c r="Z91" s="7">
        <f ca="1">G91+M91+O91+0.85*X91+V91*'Retirement Planning'!$J$46+T91</f>
        <v>6895.6494941429928</v>
      </c>
      <c r="AA91" s="7">
        <f ca="1">IF(MONTH(C91)=1,(((MIN(MAX(0,((SUM(Z79:Z90)-'Retirement Planning'!$I$53-'Retirement Planning'!$I$54)-'Retirement Planning'!$J$51)*'Retirement Planning'!$I$52))))+(MIN(MAX(0,((SUM(Z79:Z90)-'Retirement Planning'!$I$53-'Retirement Planning'!$I$54)-'Retirement Planning'!$J$50)*'Retirement Planning'!$I$51),('Retirement Planning'!$J$51-'Retirement Planning'!$J$50)*'Retirement Planning'!$I$51))+(MIN(MAX(0,((SUM(Z79:Z90)-'Retirement Planning'!$I$53-'Retirement Planning'!$I$54)-'Retirement Planning'!$J$49)*'Retirement Planning'!$I$50),('Retirement Planning'!$J$50-'Retirement Planning'!$J$49)*'Retirement Planning'!$I$50)+MIN(MAX(0,((SUM(Z79:Z90)-'Retirement Planning'!$I$53-'Retirement Planning'!$I$54)-'Retirement Planning'!$J$48)*'Retirement Planning'!$I$49),('Retirement Planning'!$J$49-'Retirement Planning'!$J$48)*'Retirement Planning'!$I$49)+MIN(((SUM(Z79:Z90)-'Retirement Planning'!$I$53-'Retirement Planning'!$I$54))*'Retirement Planning'!$I$48,('Retirement Planning'!$J$48)*'Retirement Planning'!$I$48))+(IF((SUM(Z79:Z90)-'Retirement Planning'!$I$54-'Retirement Planning'!$I$61)&gt;'Retirement Planning'!$J$59,(SUM(Z79:Z90)-'Retirement Planning'!$I$54-'Retirement Planning'!$I$61-'Retirement Planning'!$J$59)*'Retirement Planning'!$I$60+'Retirement Planning'!$K$59,IF((SUM(Z79:Z90)-'Retirement Planning'!$I$54-'Retirement Planning'!$I$61)&gt;'Retirement Planning'!$J$58,(SUM(Z79:Z90)-'Retirement Planning'!$I$54-'Retirement Planning'!$I$61-'Retirement Planning'!$J$58)*'Retirement Planning'!$I$59+'Retirement Planning'!$K$58,IF((SUM(Z79:Z90)-'Retirement Planning'!$I$54-'Retirement Planning'!$I$61)&gt;'Retirement Planning'!$J$57,(SUM(Z79:Z90)-'Retirement Planning'!$I$54-'Retirement Planning'!$I$61-'Retirement Planning'!$J$57)*'Retirement Planning'!$I$58+'Retirement Planning'!$K$57,IF((SUM(Z79:Z90)-'Retirement Planning'!$I$54-'Retirement Planning'!$I$61)&gt;'Retirement Planning'!$J$56,(SUM(Z79:Z90)-'Retirement Planning'!$I$54-'Retirement Planning'!$I$61-'Retirement Planning'!$J$56)*'Retirement Planning'!$I$57+'Retirement Planning'!$K$56,(SUM(Z79:Z90)-'Retirement Planning'!$I$54-'Retirement Planning'!$I$61)*'Retirement Planning'!$I$56))))))/12,AA90)</f>
        <v>1225.3353634685652</v>
      </c>
      <c r="AB91" s="104">
        <f t="shared" ca="1" si="21"/>
        <v>0.19203695641619659</v>
      </c>
      <c r="AC91" s="7">
        <f>IF(B91&lt;65,'Retirement Planning'!$J$28,0)</f>
        <v>583</v>
      </c>
      <c r="AD91" s="7">
        <f>IF(B91&lt;65,'Retirement Planning'!$J$29/12,0)</f>
        <v>291.66666666666669</v>
      </c>
      <c r="AE91" s="22">
        <f>'Retirement Planning'!$J$31/12</f>
        <v>58.333333333333336</v>
      </c>
      <c r="AF91" s="22">
        <f>'Retirement Planning'!$J$32/12</f>
        <v>66.666666666666671</v>
      </c>
      <c r="AG91" s="7">
        <f>IF($B91&gt;64.9,'Retirement Planning'!$J$39/12,0)</f>
        <v>0</v>
      </c>
      <c r="AH91" s="7">
        <f>IF($B91&gt;64.9,'Retirement Planning'!$J$40/12,0)</f>
        <v>0</v>
      </c>
      <c r="AI91" s="7">
        <f>IF($B91&gt;64.9,'Retirement Planning'!$J$41/12,0)</f>
        <v>0</v>
      </c>
      <c r="AJ91" s="7">
        <f t="shared" ca="1" si="31"/>
        <v>641.33333333333337</v>
      </c>
      <c r="AK91" s="3" t="str">
        <f t="shared" ca="1" si="32"/>
        <v>N/A</v>
      </c>
      <c r="AL91" s="6" t="str">
        <f t="shared" ca="1" si="33"/>
        <v>N/A</v>
      </c>
      <c r="AM91" s="7">
        <f t="shared" ca="1" si="34"/>
        <v>1.1368683772161603E-13</v>
      </c>
      <c r="AN91" s="7">
        <f t="shared" ca="1" si="35"/>
        <v>8606.7157428605205</v>
      </c>
      <c r="AO91" s="7">
        <f t="shared" si="36"/>
        <v>999.66666666666674</v>
      </c>
    </row>
    <row r="92" spans="1:41" x14ac:dyDescent="0.2">
      <c r="A92">
        <f t="shared" si="37"/>
        <v>50</v>
      </c>
      <c r="B92" s="5">
        <f t="shared" si="38"/>
        <v>63.1</v>
      </c>
      <c r="C92" s="56">
        <f t="shared" si="39"/>
        <v>48914</v>
      </c>
      <c r="D92" s="57">
        <f ca="1">IF(AND(B91&lt;59.5,OR(B92&gt;59.5,B92=59.5)),(D91-E91+J91-K91)*(1+'Retirement Planning'!$J$23/12),(D91-E91)*(1+'Retirement Planning'!$J$23/12))</f>
        <v>266041.12630969414</v>
      </c>
      <c r="E92" s="58">
        <f t="shared" ca="1" si="26"/>
        <v>846.28403521748987</v>
      </c>
      <c r="F92" s="57">
        <f ca="1">IF(AND(OR(B92&gt;59.5,B92=59.5),B91&lt;59.5),(F91-G91+L91-M91+N91-O91)*(1+'Retirement Planning'!$J$23/12),(F91-G91)*(1+'Retirement Planning'!$J$23/12))</f>
        <v>1119681.3982383911</v>
      </c>
      <c r="G92" s="58">
        <f ca="1">IF(AND($B$10&lt;55,B92&lt;59.5),'Retirement Planning'!$J$25,IF(OR(B92&gt;59.5,B92=59.5),MAX(0,MIN(F92,IF(D92&lt;2500,((Y92+AJ92+AA92))-X92,((Y92+AJ92+AA92)*'Retirement Planning'!$J$44)-X92))),0))</f>
        <v>5467.5897517170215</v>
      </c>
      <c r="H92" s="255">
        <f ca="1">IF(MONTH(C92)=1,IF(B92&gt;69.5,F92/(INDEX('Retirement Planning'!D$1:D$264,(160+INT(B92))))/12,0),IF(F92=0,0,H91))</f>
        <v>0</v>
      </c>
      <c r="I92" s="262">
        <f t="shared" ca="1" si="27"/>
        <v>0</v>
      </c>
      <c r="J92" s="254">
        <f ca="1">IF(AND(B91&lt;59.5,OR(B92=59.5,B92&gt;59.5)),0,(J91-K91)*(1+'Retirement Planning'!$J$23/12))</f>
        <v>0</v>
      </c>
      <c r="K92" s="58">
        <f t="shared" ca="1" si="28"/>
        <v>0</v>
      </c>
      <c r="L92" s="57">
        <f>IF(AND(OR(B92&gt;59.5,B92=59.5),B91&lt;59.5),0,(L91-M91)*(1+'Retirement Planning'!$J$23/12))</f>
        <v>0</v>
      </c>
      <c r="M92" s="59">
        <f>IF(AND($B$10&lt;55,B92&lt;59.5),0,IF(B92&lt;59.5,MAX(0,MIN((($Y92+$AJ92+AA92)*'Retirement Planning'!$J$44)-$G92-$X92,L92)),0))</f>
        <v>0</v>
      </c>
      <c r="N92" s="57">
        <f ca="1">(N91-O91)*(1+'Retirement Planning'!$J$23/12)</f>
        <v>0</v>
      </c>
      <c r="O92" s="59">
        <f ca="1">IF(B92&gt;59.5,MAX(0,MIN((AA92+$Y92+$AJ92)*(IF(D92&lt;(MIN(E80:E91)+1),1,'Retirement Planning'!$J$44))-M92-$G92-$X92-(IF(D92&lt;(MIN(E80:E91)+1),D92,0)),N92)),0)</f>
        <v>0</v>
      </c>
      <c r="P92" s="57">
        <f t="shared" si="40"/>
        <v>0</v>
      </c>
      <c r="Q92" s="58">
        <f t="shared" si="41"/>
        <v>0</v>
      </c>
      <c r="R92" s="57">
        <f ca="1">(R91-S91-T91)*(1+'Retirement Planning'!$J$23/12)</f>
        <v>262804.27706900652</v>
      </c>
      <c r="S92" s="58">
        <f t="shared" ca="1" si="42"/>
        <v>358.33333333333337</v>
      </c>
      <c r="T92" s="273">
        <f t="shared" ca="1" si="29"/>
        <v>-1.1368683772161603E-12</v>
      </c>
      <c r="U92" s="57">
        <f ca="1">(U91-V91)*(1+'Retirement Planning'!$J$23/12)</f>
        <v>222191.85014212489</v>
      </c>
      <c r="V92" s="24">
        <f ca="1">IF(AND($B$10&lt;55,B92&lt;59.5),MIN(U92,MAX(0,(Y92+AA92+AJ92-G92)*'Retirement Planning'!$J$45)),IF(B92&lt;59.5,(MIN(U92,MAX(0,((Y92+AA92+AJ92)-G92-M92)*'Retirement Planning'!$J$45))),MIN(U92,MAX(0,(Y92+AA92+AJ92-G92-M92-K92-X92)*'Retirement Planning'!$J$45))))</f>
        <v>720.90862259267681</v>
      </c>
      <c r="W92" s="7">
        <f t="shared" ca="1" si="30"/>
        <v>1870718.6517592168</v>
      </c>
      <c r="X92" s="7">
        <f>(IF(B92&gt;'Retirement Planning'!$J$34,IF('Retirement Planning'!$J$34=70,'Retirement Planning'!$J$37/12,IF('Retirement Planning'!$J$34=67,'Retirement Planning'!$J$36/12,'Retirement Planning'!$J$35/12)),0))*'Retirement Planning'!$J$38</f>
        <v>1213.6000000000001</v>
      </c>
      <c r="Y92" s="7">
        <f ca="1">'Retirement Planning'!$F$35*((1+'Retirement Planning'!$J$24)^(YEAR('Projected Retirement Drawdown'!C92)-YEAR(TODAY())))</f>
        <v>6381.713712725289</v>
      </c>
      <c r="Z92" s="7">
        <f ca="1">G92+M92+O92+0.85*X92+V92*'Retirement Planning'!$J$46+T92</f>
        <v>6895.6494941429928</v>
      </c>
      <c r="AA92" s="7">
        <f ca="1">IF(MONTH(C92)=1,(((MIN(MAX(0,((SUM(Z80:Z91)-'Retirement Planning'!$I$53-'Retirement Planning'!$I$54)-'Retirement Planning'!$J$51)*'Retirement Planning'!$I$52))))+(MIN(MAX(0,((SUM(Z80:Z91)-'Retirement Planning'!$I$53-'Retirement Planning'!$I$54)-'Retirement Planning'!$J$50)*'Retirement Planning'!$I$51),('Retirement Planning'!$J$51-'Retirement Planning'!$J$50)*'Retirement Planning'!$I$51))+(MIN(MAX(0,((SUM(Z80:Z91)-'Retirement Planning'!$I$53-'Retirement Planning'!$I$54)-'Retirement Planning'!$J$49)*'Retirement Planning'!$I$50),('Retirement Planning'!$J$50-'Retirement Planning'!$J$49)*'Retirement Planning'!$I$50)+MIN(MAX(0,((SUM(Z80:Z91)-'Retirement Planning'!$I$53-'Retirement Planning'!$I$54)-'Retirement Planning'!$J$48)*'Retirement Planning'!$I$49),('Retirement Planning'!$J$49-'Retirement Planning'!$J$48)*'Retirement Planning'!$I$49)+MIN(((SUM(Z80:Z91)-'Retirement Planning'!$I$53-'Retirement Planning'!$I$54))*'Retirement Planning'!$I$48,('Retirement Planning'!$J$48)*'Retirement Planning'!$I$48))+(IF((SUM(Z80:Z91)-'Retirement Planning'!$I$54-'Retirement Planning'!$I$61)&gt;'Retirement Planning'!$J$59,(SUM(Z80:Z91)-'Retirement Planning'!$I$54-'Retirement Planning'!$I$61-'Retirement Planning'!$J$59)*'Retirement Planning'!$I$60+'Retirement Planning'!$K$59,IF((SUM(Z80:Z91)-'Retirement Planning'!$I$54-'Retirement Planning'!$I$61)&gt;'Retirement Planning'!$J$58,(SUM(Z80:Z91)-'Retirement Planning'!$I$54-'Retirement Planning'!$I$61-'Retirement Planning'!$J$58)*'Retirement Planning'!$I$59+'Retirement Planning'!$K$58,IF((SUM(Z80:Z91)-'Retirement Planning'!$I$54-'Retirement Planning'!$I$61)&gt;'Retirement Planning'!$J$57,(SUM(Z80:Z91)-'Retirement Planning'!$I$54-'Retirement Planning'!$I$61-'Retirement Planning'!$J$57)*'Retirement Planning'!$I$58+'Retirement Planning'!$K$57,IF((SUM(Z80:Z91)-'Retirement Planning'!$I$54-'Retirement Planning'!$I$61)&gt;'Retirement Planning'!$J$56,(SUM(Z80:Z91)-'Retirement Planning'!$I$54-'Retirement Planning'!$I$61-'Retirement Planning'!$J$56)*'Retirement Planning'!$I$57+'Retirement Planning'!$K$56,(SUM(Z80:Z91)-'Retirement Planning'!$I$54-'Retirement Planning'!$I$61)*'Retirement Planning'!$I$56))))))/12,AA91)</f>
        <v>1225.3353634685652</v>
      </c>
      <c r="AB92" s="104">
        <f t="shared" ca="1" si="21"/>
        <v>0.19203695641619659</v>
      </c>
      <c r="AC92" s="7">
        <f>IF(B92&lt;65,'Retirement Planning'!$J$28,0)</f>
        <v>583</v>
      </c>
      <c r="AD92" s="7">
        <f>IF(B92&lt;65,'Retirement Planning'!$J$29/12,0)</f>
        <v>291.66666666666669</v>
      </c>
      <c r="AE92" s="22">
        <f>'Retirement Planning'!$J$31/12</f>
        <v>58.333333333333336</v>
      </c>
      <c r="AF92" s="22">
        <f>'Retirement Planning'!$J$32/12</f>
        <v>66.666666666666671</v>
      </c>
      <c r="AG92" s="7">
        <f>IF($B92&gt;64.9,'Retirement Planning'!$J$39/12,0)</f>
        <v>0</v>
      </c>
      <c r="AH92" s="7">
        <f>IF($B92&gt;64.9,'Retirement Planning'!$J$40/12,0)</f>
        <v>0</v>
      </c>
      <c r="AI92" s="7">
        <f>IF($B92&gt;64.9,'Retirement Planning'!$J$41/12,0)</f>
        <v>0</v>
      </c>
      <c r="AJ92" s="7">
        <f t="shared" ca="1" si="31"/>
        <v>641.33333333333337</v>
      </c>
      <c r="AK92" s="3" t="str">
        <f t="shared" ca="1" si="32"/>
        <v>N/A</v>
      </c>
      <c r="AL92" s="6" t="str">
        <f t="shared" ca="1" si="33"/>
        <v>N/A</v>
      </c>
      <c r="AM92" s="7">
        <f t="shared" ca="1" si="34"/>
        <v>1.1368683772161603E-13</v>
      </c>
      <c r="AN92" s="7">
        <f t="shared" ca="1" si="35"/>
        <v>8606.7157428605205</v>
      </c>
      <c r="AO92" s="7">
        <f t="shared" si="36"/>
        <v>999.66666666666674</v>
      </c>
    </row>
    <row r="93" spans="1:41" x14ac:dyDescent="0.2">
      <c r="A93">
        <f t="shared" si="37"/>
        <v>50</v>
      </c>
      <c r="B93" s="5">
        <f t="shared" si="38"/>
        <v>63.2</v>
      </c>
      <c r="C93" s="56">
        <f t="shared" si="39"/>
        <v>48945</v>
      </c>
      <c r="D93" s="57">
        <f ca="1">IF(AND(B92&lt;59.5,OR(B93&gt;59.5,B93=59.5)),(D92-E92+J92-K92)*(1+'Retirement Planning'!$J$23/12),(D92-E92)*(1+'Retirement Planning'!$J$23/12))</f>
        <v>267073.30574058753</v>
      </c>
      <c r="E93" s="58">
        <f t="shared" ca="1" si="26"/>
        <v>884.64857214817948</v>
      </c>
      <c r="F93" s="57">
        <f ca="1">IF(AND(OR(B93&gt;59.5,B93=59.5),B92&lt;59.5),(F92-G92+L92-M92+N92-O92)*(1+'Retirement Planning'!$J$23/12),(F92-G92)*(1+'Retirement Planning'!$J$23/12))</f>
        <v>1122106.1562967882</v>
      </c>
      <c r="G93" s="58">
        <f ca="1">IF(AND($B$10&lt;55,B93&lt;59.5),'Retirement Planning'!$J$25,IF(OR(B93&gt;59.5,B93=59.5),MAX(0,MIN(F93,IF(D93&lt;2500,((Y93+AJ93+AA93))-X93,((Y93+AJ93+AA93)*'Retirement Planning'!$J$44)-X93))),0))</f>
        <v>5770.4676748540487</v>
      </c>
      <c r="H93" s="255">
        <f>IF(MONTH(C93)=1,IF(B93&gt;69.5,F93/(INDEX('Retirement Planning'!D$1:D$264,(160+INT(B93))))/12,0),IF(F93=0,0,H92))</f>
        <v>0</v>
      </c>
      <c r="I93" s="262">
        <f t="shared" ca="1" si="27"/>
        <v>0</v>
      </c>
      <c r="J93" s="254">
        <f ca="1">IF(AND(B92&lt;59.5,OR(B93=59.5,B93&gt;59.5)),0,(J92-K92)*(1+'Retirement Planning'!$J$23/12))</f>
        <v>0</v>
      </c>
      <c r="K93" s="58">
        <f t="shared" ca="1" si="28"/>
        <v>0</v>
      </c>
      <c r="L93" s="57">
        <f>IF(AND(OR(B93&gt;59.5,B93=59.5),B92&lt;59.5),0,(L92-M92)*(1+'Retirement Planning'!$J$23/12))</f>
        <v>0</v>
      </c>
      <c r="M93" s="59">
        <f>IF(AND($B$10&lt;55,B93&lt;59.5),0,IF(B93&lt;59.5,MAX(0,MIN((($Y93+$AJ93+AA93)*'Retirement Planning'!$J$44)-$G93-$X93,L93)),0))</f>
        <v>0</v>
      </c>
      <c r="N93" s="57">
        <f ca="1">(N92-O92)*(1+'Retirement Planning'!$J$23/12)</f>
        <v>0</v>
      </c>
      <c r="O93" s="59">
        <f ca="1">IF(B93&gt;59.5,MAX(0,MIN((AA93+$Y93+$AJ93)*(IF(D93&lt;(MIN(E81:E92)+1),1,'Retirement Planning'!$J$44))-M93-$G93-$X93-(IF(D93&lt;(MIN(E81:E92)+1),D93,0)),N93)),0)</f>
        <v>0</v>
      </c>
      <c r="P93" s="57">
        <f t="shared" si="40"/>
        <v>0</v>
      </c>
      <c r="Q93" s="58">
        <f t="shared" si="41"/>
        <v>0</v>
      </c>
      <c r="R93" s="57">
        <f ca="1">(R92-S92-T92)*(1+'Retirement Planning'!$J$23/12)</f>
        <v>264304.93583713425</v>
      </c>
      <c r="S93" s="58">
        <f t="shared" ca="1" si="42"/>
        <v>358.33333333333337</v>
      </c>
      <c r="T93" s="273">
        <f t="shared" ca="1" si="29"/>
        <v>4.5474735088646412E-13</v>
      </c>
      <c r="U93" s="57">
        <f ca="1">(U92-V92)*(1+'Retirement Planning'!$J$23/12)</f>
        <v>223039.69402196223</v>
      </c>
      <c r="V93" s="24">
        <f ca="1">IF(AND($B$10&lt;55,B93&lt;59.5),MIN(U93,MAX(0,(Y93+AA93+AJ93-G93)*'Retirement Planning'!$J$45)),IF(B93&lt;59.5,(MIN(U93,MAX(0,((Y93+AA93+AJ93)-G93-M93)*'Retirement Planning'!$J$45))),MIN(U93,MAX(0,(Y93+AA93+AJ93-G93-M93-K93-X93)*'Retirement Planning'!$J$45))))</f>
        <v>753.58952442252325</v>
      </c>
      <c r="W93" s="7">
        <f t="shared" ca="1" si="30"/>
        <v>1876524.091896472</v>
      </c>
      <c r="X93" s="7">
        <f>(IF(B93&gt;'Retirement Planning'!$J$34,IF('Retirement Planning'!$J$34=70,'Retirement Planning'!$J$37/12,IF('Retirement Planning'!$J$34=67,'Retirement Planning'!$J$36/12,'Retirement Planning'!$J$35/12)),0))*'Retirement Planning'!$J$38</f>
        <v>1213.6000000000001</v>
      </c>
      <c r="Y93" s="7">
        <f ca="1">'Retirement Planning'!$F$35*((1+'Retirement Planning'!$J$24)^(YEAR('Projected Retirement Drawdown'!C93)-YEAR(TODAY())))</f>
        <v>6605.0736926706741</v>
      </c>
      <c r="Z93" s="7">
        <f ca="1">G93+M93+O93+0.85*X93+V93*'Retirement Planning'!$J$46+T93</f>
        <v>7216.5019132864381</v>
      </c>
      <c r="AA93" s="7">
        <f ca="1">IF(MONTH(C93)=1,(((MIN(MAX(0,((SUM(Z81:Z92)-'Retirement Planning'!$I$53-'Retirement Planning'!$I$54)-'Retirement Planning'!$J$51)*'Retirement Planning'!$I$52))))+(MIN(MAX(0,((SUM(Z81:Z92)-'Retirement Planning'!$I$53-'Retirement Planning'!$I$54)-'Retirement Planning'!$J$50)*'Retirement Planning'!$I$51),('Retirement Planning'!$J$51-'Retirement Planning'!$J$50)*'Retirement Planning'!$I$51))+(MIN(MAX(0,((SUM(Z81:Z92)-'Retirement Planning'!$I$53-'Retirement Planning'!$I$54)-'Retirement Planning'!$J$49)*'Retirement Planning'!$I$50),('Retirement Planning'!$J$50-'Retirement Planning'!$J$49)*'Retirement Planning'!$I$50)+MIN(MAX(0,((SUM(Z81:Z92)-'Retirement Planning'!$I$53-'Retirement Planning'!$I$54)-'Retirement Planning'!$J$48)*'Retirement Planning'!$I$49),('Retirement Planning'!$J$49-'Retirement Planning'!$J$48)*'Retirement Planning'!$I$49)+MIN(((SUM(Z81:Z92)-'Retirement Planning'!$I$53-'Retirement Planning'!$I$54))*'Retirement Planning'!$I$48,('Retirement Planning'!$J$48)*'Retirement Planning'!$I$48))+(IF((SUM(Z81:Z92)-'Retirement Planning'!$I$54-'Retirement Planning'!$I$61)&gt;'Retirement Planning'!$J$59,(SUM(Z81:Z92)-'Retirement Planning'!$I$54-'Retirement Planning'!$I$61-'Retirement Planning'!$J$59)*'Retirement Planning'!$I$60+'Retirement Planning'!$K$59,IF((SUM(Z81:Z92)-'Retirement Planning'!$I$54-'Retirement Planning'!$I$61)&gt;'Retirement Planning'!$J$58,(SUM(Z81:Z92)-'Retirement Planning'!$I$54-'Retirement Planning'!$I$61-'Retirement Planning'!$J$58)*'Retirement Planning'!$I$59+'Retirement Planning'!$K$58,IF((SUM(Z81:Z92)-'Retirement Planning'!$I$54-'Retirement Planning'!$I$61)&gt;'Retirement Planning'!$J$57,(SUM(Z81:Z92)-'Retirement Planning'!$I$54-'Retirement Planning'!$I$61-'Retirement Planning'!$J$57)*'Retirement Planning'!$I$58+'Retirement Planning'!$K$57,IF((SUM(Z81:Z92)-'Retirement Planning'!$I$54-'Retirement Planning'!$I$61)&gt;'Retirement Planning'!$J$56,(SUM(Z81:Z92)-'Retirement Planning'!$I$54-'Retirement Planning'!$I$61-'Retirement Planning'!$J$56)*'Retirement Planning'!$I$57+'Retirement Planning'!$K$56,(SUM(Z81:Z92)-'Retirement Planning'!$I$54-'Retirement Planning'!$I$61)*'Retirement Planning'!$I$56))))))/12,AA92)</f>
        <v>1375.8987454207447</v>
      </c>
      <c r="AB93" s="104">
        <f t="shared" ref="AB93" ca="1" si="45">SUM(AA93:AA104)/SUM(Z81:Z92)</f>
        <v>0.19953142145484654</v>
      </c>
      <c r="AC93" s="7">
        <f>IF(B93&lt;65,'Retirement Planning'!$J$28,0)</f>
        <v>583</v>
      </c>
      <c r="AD93" s="7">
        <f>IF(B93&lt;65,'Retirement Planning'!$J$29/12,0)</f>
        <v>291.66666666666669</v>
      </c>
      <c r="AE93" s="22">
        <f>'Retirement Planning'!$J$31/12</f>
        <v>58.333333333333336</v>
      </c>
      <c r="AF93" s="22">
        <f>'Retirement Planning'!$J$32/12</f>
        <v>66.666666666666671</v>
      </c>
      <c r="AG93" s="7">
        <f>IF($B93&gt;64.9,'Retirement Planning'!$J$39/12,0)</f>
        <v>0</v>
      </c>
      <c r="AH93" s="7">
        <f>IF($B93&gt;64.9,'Retirement Planning'!$J$40/12,0)</f>
        <v>0</v>
      </c>
      <c r="AI93" s="7">
        <f>IF($B93&gt;64.9,'Retirement Planning'!$J$41/12,0)</f>
        <v>0</v>
      </c>
      <c r="AJ93" s="7">
        <f t="shared" ca="1" si="31"/>
        <v>641.33333333333337</v>
      </c>
      <c r="AK93" s="3" t="str">
        <f t="shared" ca="1" si="32"/>
        <v>N/A</v>
      </c>
      <c r="AL93" s="6" t="str">
        <f t="shared" ca="1" si="33"/>
        <v>N/A</v>
      </c>
      <c r="AM93" s="7">
        <f t="shared" ca="1" si="34"/>
        <v>2.2737367544323206E-13</v>
      </c>
      <c r="AN93" s="7">
        <f t="shared" ca="1" si="35"/>
        <v>8980.6391047580855</v>
      </c>
      <c r="AO93" s="7">
        <f t="shared" si="36"/>
        <v>999.66666666666674</v>
      </c>
    </row>
    <row r="94" spans="1:41" x14ac:dyDescent="0.2">
      <c r="A94">
        <f t="shared" si="37"/>
        <v>50</v>
      </c>
      <c r="B94" s="5">
        <f t="shared" si="38"/>
        <v>63.3</v>
      </c>
      <c r="C94" s="56">
        <f t="shared" si="39"/>
        <v>48976</v>
      </c>
      <c r="D94" s="57">
        <f ca="1">IF(AND(B93&lt;59.5,OR(B94&gt;59.5,B94=59.5)),(D93-E93+J93-K93)*(1+'Retirement Planning'!$J$23/12),(D93-E93)*(1+'Retirement Planning'!$J$23/12))</f>
        <v>268074.16015671578</v>
      </c>
      <c r="E94" s="58">
        <f t="shared" ca="1" si="26"/>
        <v>884.64857214817948</v>
      </c>
      <c r="F94" s="57">
        <f ca="1">IF(AND(OR(B94&gt;59.5,B94=59.5),B93&lt;59.5),(F93-G93+L93-M93+N93-O93)*(1+'Retirement Planning'!$J$23/12),(F93-G93)*(1+'Retirement Planning'!$J$23/12))</f>
        <v>1124243.0664163397</v>
      </c>
      <c r="G94" s="58">
        <f ca="1">IF(AND($B$10&lt;55,B94&lt;59.5),'Retirement Planning'!$J$25,IF(OR(B94&gt;59.5,B94=59.5),MAX(0,MIN(F94,IF(D94&lt;2500,((Y94+AJ94+AA94))-X94,((Y94+AJ94+AA94)*'Retirement Planning'!$J$44)-X94))),0))</f>
        <v>5770.4676748540487</v>
      </c>
      <c r="H94" s="255">
        <f ca="1">IF(MONTH(C94)=1,IF(B94&gt;69.5,F94/(INDEX('Retirement Planning'!D$1:D$264,(160+INT(B94))))/12,0),IF(F94=0,0,H93))</f>
        <v>0</v>
      </c>
      <c r="I94" s="262">
        <f t="shared" ca="1" si="27"/>
        <v>0</v>
      </c>
      <c r="J94" s="254">
        <f ca="1">IF(AND(B93&lt;59.5,OR(B94=59.5,B94&gt;59.5)),0,(J93-K93)*(1+'Retirement Planning'!$J$23/12))</f>
        <v>0</v>
      </c>
      <c r="K94" s="58">
        <f t="shared" ca="1" si="28"/>
        <v>0</v>
      </c>
      <c r="L94" s="57">
        <f>IF(AND(OR(B94&gt;59.5,B94=59.5),B93&lt;59.5),0,(L93-M93)*(1+'Retirement Planning'!$J$23/12))</f>
        <v>0</v>
      </c>
      <c r="M94" s="59">
        <f>IF(AND($B$10&lt;55,B94&lt;59.5),0,IF(B94&lt;59.5,MAX(0,MIN((($Y94+$AJ94+AA94)*'Retirement Planning'!$J$44)-$G94-$X94,L94)),0))</f>
        <v>0</v>
      </c>
      <c r="N94" s="57">
        <f ca="1">(N93-O93)*(1+'Retirement Planning'!$J$23/12)</f>
        <v>0</v>
      </c>
      <c r="O94" s="59">
        <f ca="1">IF(B94&gt;59.5,MAX(0,MIN((AA94+$Y94+$AJ94)*(IF(D94&lt;(MIN(E82:E93)+1),1,'Retirement Planning'!$J$44))-M94-$G94-$X94-(IF(D94&lt;(MIN(E82:E93)+1),D94,0)),N94)),0)</f>
        <v>0</v>
      </c>
      <c r="P94" s="57">
        <f t="shared" si="40"/>
        <v>0</v>
      </c>
      <c r="Q94" s="58">
        <f t="shared" si="41"/>
        <v>0</v>
      </c>
      <c r="R94" s="57">
        <f ca="1">(R93-S93-T93)*(1+'Retirement Planning'!$J$23/12)</f>
        <v>265816.22427153622</v>
      </c>
      <c r="S94" s="58">
        <f t="shared" ca="1" si="42"/>
        <v>358.33333333333337</v>
      </c>
      <c r="T94" s="273">
        <f t="shared" ca="1" si="29"/>
        <v>4.5474735088646412E-13</v>
      </c>
      <c r="U94" s="57">
        <f ca="1">(U93-V93)*(1+'Retirement Planning'!$J$23/12)</f>
        <v>223860.63107106395</v>
      </c>
      <c r="V94" s="24">
        <f ca="1">IF(AND($B$10&lt;55,B94&lt;59.5),MIN(U94,MAX(0,(Y94+AA94+AJ94-G94)*'Retirement Planning'!$J$45)),IF(B94&lt;59.5,(MIN(U94,MAX(0,((Y94+AA94+AJ94)-G94-M94)*'Retirement Planning'!$J$45))),MIN(U94,MAX(0,(Y94+AA94+AJ94-G94-M94-K94-X94)*'Retirement Planning'!$J$45))))</f>
        <v>753.58952442252325</v>
      </c>
      <c r="W94" s="7">
        <f t="shared" ca="1" si="30"/>
        <v>1881994.0819156559</v>
      </c>
      <c r="X94" s="7">
        <f>(IF(B94&gt;'Retirement Planning'!$J$34,IF('Retirement Planning'!$J$34=70,'Retirement Planning'!$J$37/12,IF('Retirement Planning'!$J$34=67,'Retirement Planning'!$J$36/12,'Retirement Planning'!$J$35/12)),0))*'Retirement Planning'!$J$38</f>
        <v>1213.6000000000001</v>
      </c>
      <c r="Y94" s="7">
        <f ca="1">'Retirement Planning'!$F$35*((1+'Retirement Planning'!$J$24)^(YEAR('Projected Retirement Drawdown'!C94)-YEAR(TODAY())))</f>
        <v>6605.0736926706741</v>
      </c>
      <c r="Z94" s="7">
        <f ca="1">G94+M94+O94+0.85*X94+V94*'Retirement Planning'!$J$46+T94</f>
        <v>7216.5019132864381</v>
      </c>
      <c r="AA94" s="7">
        <f ca="1">IF(MONTH(C94)=1,(((MIN(MAX(0,((SUM(Z82:Z93)-'Retirement Planning'!$I$53-'Retirement Planning'!$I$54)-'Retirement Planning'!$J$51)*'Retirement Planning'!$I$52))))+(MIN(MAX(0,((SUM(Z82:Z93)-'Retirement Planning'!$I$53-'Retirement Planning'!$I$54)-'Retirement Planning'!$J$50)*'Retirement Planning'!$I$51),('Retirement Planning'!$J$51-'Retirement Planning'!$J$50)*'Retirement Planning'!$I$51))+(MIN(MAX(0,((SUM(Z82:Z93)-'Retirement Planning'!$I$53-'Retirement Planning'!$I$54)-'Retirement Planning'!$J$49)*'Retirement Planning'!$I$50),('Retirement Planning'!$J$50-'Retirement Planning'!$J$49)*'Retirement Planning'!$I$50)+MIN(MAX(0,((SUM(Z82:Z93)-'Retirement Planning'!$I$53-'Retirement Planning'!$I$54)-'Retirement Planning'!$J$48)*'Retirement Planning'!$I$49),('Retirement Planning'!$J$49-'Retirement Planning'!$J$48)*'Retirement Planning'!$I$49)+MIN(((SUM(Z82:Z93)-'Retirement Planning'!$I$53-'Retirement Planning'!$I$54))*'Retirement Planning'!$I$48,('Retirement Planning'!$J$48)*'Retirement Planning'!$I$48))+(IF((SUM(Z82:Z93)-'Retirement Planning'!$I$54-'Retirement Planning'!$I$61)&gt;'Retirement Planning'!$J$59,(SUM(Z82:Z93)-'Retirement Planning'!$I$54-'Retirement Planning'!$I$61-'Retirement Planning'!$J$59)*'Retirement Planning'!$I$60+'Retirement Planning'!$K$59,IF((SUM(Z82:Z93)-'Retirement Planning'!$I$54-'Retirement Planning'!$I$61)&gt;'Retirement Planning'!$J$58,(SUM(Z82:Z93)-'Retirement Planning'!$I$54-'Retirement Planning'!$I$61-'Retirement Planning'!$J$58)*'Retirement Planning'!$I$59+'Retirement Planning'!$K$58,IF((SUM(Z82:Z93)-'Retirement Planning'!$I$54-'Retirement Planning'!$I$61)&gt;'Retirement Planning'!$J$57,(SUM(Z82:Z93)-'Retirement Planning'!$I$54-'Retirement Planning'!$I$61-'Retirement Planning'!$J$57)*'Retirement Planning'!$I$58+'Retirement Planning'!$K$57,IF((SUM(Z82:Z93)-'Retirement Planning'!$I$54-'Retirement Planning'!$I$61)&gt;'Retirement Planning'!$J$56,(SUM(Z82:Z93)-'Retirement Planning'!$I$54-'Retirement Planning'!$I$61-'Retirement Planning'!$J$56)*'Retirement Planning'!$I$57+'Retirement Planning'!$K$56,(SUM(Z82:Z93)-'Retirement Planning'!$I$54-'Retirement Planning'!$I$61)*'Retirement Planning'!$I$56))))))/12,AA93)</f>
        <v>1375.8987454207447</v>
      </c>
      <c r="AB94" s="104">
        <f t="shared" ref="AB94:AB157" ca="1" si="46">AB93</f>
        <v>0.19953142145484654</v>
      </c>
      <c r="AC94" s="7">
        <f>IF(B94&lt;65,'Retirement Planning'!$J$28,0)</f>
        <v>583</v>
      </c>
      <c r="AD94" s="7">
        <f>IF(B94&lt;65,'Retirement Planning'!$J$29/12,0)</f>
        <v>291.66666666666669</v>
      </c>
      <c r="AE94" s="22">
        <f>'Retirement Planning'!$J$31/12</f>
        <v>58.333333333333336</v>
      </c>
      <c r="AF94" s="22">
        <f>'Retirement Planning'!$J$32/12</f>
        <v>66.666666666666671</v>
      </c>
      <c r="AG94" s="7">
        <f>IF($B94&gt;64.9,'Retirement Planning'!$J$39/12,0)</f>
        <v>0</v>
      </c>
      <c r="AH94" s="7">
        <f>IF($B94&gt;64.9,'Retirement Planning'!$J$40/12,0)</f>
        <v>0</v>
      </c>
      <c r="AI94" s="7">
        <f>IF($B94&gt;64.9,'Retirement Planning'!$J$41/12,0)</f>
        <v>0</v>
      </c>
      <c r="AJ94" s="7">
        <f t="shared" ca="1" si="31"/>
        <v>641.33333333333337</v>
      </c>
      <c r="AK94" s="3" t="str">
        <f t="shared" ca="1" si="32"/>
        <v>N/A</v>
      </c>
      <c r="AL94" s="6" t="str">
        <f t="shared" ca="1" si="33"/>
        <v>N/A</v>
      </c>
      <c r="AM94" s="7">
        <f t="shared" ca="1" si="34"/>
        <v>2.2737367544323206E-13</v>
      </c>
      <c r="AN94" s="7">
        <f t="shared" ca="1" si="35"/>
        <v>8980.6391047580855</v>
      </c>
      <c r="AO94" s="7">
        <f t="shared" si="36"/>
        <v>999.66666666666674</v>
      </c>
    </row>
    <row r="95" spans="1:41" x14ac:dyDescent="0.2">
      <c r="A95">
        <f t="shared" si="37"/>
        <v>50</v>
      </c>
      <c r="B95" s="5">
        <f t="shared" si="38"/>
        <v>63.4</v>
      </c>
      <c r="C95" s="56">
        <f t="shared" si="39"/>
        <v>49004</v>
      </c>
      <c r="D95" s="57">
        <f ca="1">IF(AND(B94&lt;59.5,OR(B95&gt;59.5,B95=59.5)),(D94-E94+J94-K94)*(1+'Retirement Planning'!$J$23/12),(D94-E94)*(1+'Retirement Planning'!$J$23/12))</f>
        <v>269082.10395829164</v>
      </c>
      <c r="E95" s="58">
        <f t="shared" ca="1" si="26"/>
        <v>884.64857214817948</v>
      </c>
      <c r="F95" s="57">
        <f ca="1">IF(AND(OR(B95&gt;59.5,B95=59.5),B94&lt;59.5),(F94-G94+L94-M94+N94-O94)*(1+'Retirement Planning'!$J$23/12),(F94-G94)*(1+'Retirement Planning'!$J$23/12))</f>
        <v>1126395.1129825714</v>
      </c>
      <c r="G95" s="58">
        <f ca="1">IF(AND($B$10&lt;55,B95&lt;59.5),'Retirement Planning'!$J$25,IF(OR(B95&gt;59.5,B95=59.5),MAX(0,MIN(F95,IF(D95&lt;2500,((Y95+AJ95+AA95))-X95,((Y95+AJ95+AA95)*'Retirement Planning'!$J$44)-X95))),0))</f>
        <v>5770.4676748540487</v>
      </c>
      <c r="H95" s="255">
        <f ca="1">IF(MONTH(C95)=1,IF(B95&gt;69.5,F95/(INDEX('Retirement Planning'!D$1:D$264,(160+INT(B95))))/12,0),IF(F95=0,0,H94))</f>
        <v>0</v>
      </c>
      <c r="I95" s="262">
        <f t="shared" ca="1" si="27"/>
        <v>0</v>
      </c>
      <c r="J95" s="254">
        <f ca="1">IF(AND(B94&lt;59.5,OR(B95=59.5,B95&gt;59.5)),0,(J94-K94)*(1+'Retirement Planning'!$J$23/12))</f>
        <v>0</v>
      </c>
      <c r="K95" s="58">
        <f t="shared" ca="1" si="28"/>
        <v>0</v>
      </c>
      <c r="L95" s="57">
        <f>IF(AND(OR(B95&gt;59.5,B95=59.5),B94&lt;59.5),0,(L94-M94)*(1+'Retirement Planning'!$J$23/12))</f>
        <v>0</v>
      </c>
      <c r="M95" s="59">
        <f>IF(AND($B$10&lt;55,B95&lt;59.5),0,IF(B95&lt;59.5,MAX(0,MIN((($Y95+$AJ95+AA95)*'Retirement Planning'!$J$44)-$G95-$X95,L95)),0))</f>
        <v>0</v>
      </c>
      <c r="N95" s="57">
        <f ca="1">(N94-O94)*(1+'Retirement Planning'!$J$23/12)</f>
        <v>0</v>
      </c>
      <c r="O95" s="59">
        <f ca="1">IF(B95&gt;59.5,MAX(0,MIN((AA95+$Y95+$AJ95)*(IF(D95&lt;(MIN(E83:E94)+1),1,'Retirement Planning'!$J$44))-M95-$G95-$X95-(IF(D95&lt;(MIN(E83:E94)+1),D95,0)),N95)),0)</f>
        <v>0</v>
      </c>
      <c r="P95" s="57">
        <f t="shared" si="40"/>
        <v>0</v>
      </c>
      <c r="Q95" s="58">
        <f t="shared" si="41"/>
        <v>0</v>
      </c>
      <c r="R95" s="57">
        <f ca="1">(R94-S94-T94)*(1+'Retirement Planning'!$J$23/12)</f>
        <v>267338.21766568185</v>
      </c>
      <c r="S95" s="58">
        <f t="shared" ca="1" si="42"/>
        <v>358.33333333333337</v>
      </c>
      <c r="T95" s="273">
        <f t="shared" ca="1" si="29"/>
        <v>4.5474735088646412E-13</v>
      </c>
      <c r="U95" s="57">
        <f ca="1">(U94-V94)*(1+'Retirement Planning'!$J$23/12)</f>
        <v>224687.38309093015</v>
      </c>
      <c r="V95" s="24">
        <f ca="1">IF(AND($B$10&lt;55,B95&lt;59.5),MIN(U95,MAX(0,(Y95+AA95+AJ95-G95)*'Retirement Planning'!$J$45)),IF(B95&lt;59.5,(MIN(U95,MAX(0,((Y95+AA95+AJ95)-G95-M95)*'Retirement Planning'!$J$45))),MIN(U95,MAX(0,(Y95+AA95+AJ95-G95-M95-K95-X95)*'Retirement Planning'!$J$45))))</f>
        <v>753.58952442252325</v>
      </c>
      <c r="W95" s="7">
        <f t="shared" ca="1" si="30"/>
        <v>1887502.817697475</v>
      </c>
      <c r="X95" s="7">
        <f>(IF(B95&gt;'Retirement Planning'!$J$34,IF('Retirement Planning'!$J$34=70,'Retirement Planning'!$J$37/12,IF('Retirement Planning'!$J$34=67,'Retirement Planning'!$J$36/12,'Retirement Planning'!$J$35/12)),0))*'Retirement Planning'!$J$38</f>
        <v>1213.6000000000001</v>
      </c>
      <c r="Y95" s="7">
        <f ca="1">'Retirement Planning'!$F$35*((1+'Retirement Planning'!$J$24)^(YEAR('Projected Retirement Drawdown'!C95)-YEAR(TODAY())))</f>
        <v>6605.0736926706741</v>
      </c>
      <c r="Z95" s="7">
        <f ca="1">G95+M95+O95+0.85*X95+V95*'Retirement Planning'!$J$46+T95</f>
        <v>7216.5019132864381</v>
      </c>
      <c r="AA95" s="7">
        <f ca="1">IF(MONTH(C95)=1,(((MIN(MAX(0,((SUM(Z83:Z94)-'Retirement Planning'!$I$53-'Retirement Planning'!$I$54)-'Retirement Planning'!$J$51)*'Retirement Planning'!$I$52))))+(MIN(MAX(0,((SUM(Z83:Z94)-'Retirement Planning'!$I$53-'Retirement Planning'!$I$54)-'Retirement Planning'!$J$50)*'Retirement Planning'!$I$51),('Retirement Planning'!$J$51-'Retirement Planning'!$J$50)*'Retirement Planning'!$I$51))+(MIN(MAX(0,((SUM(Z83:Z94)-'Retirement Planning'!$I$53-'Retirement Planning'!$I$54)-'Retirement Planning'!$J$49)*'Retirement Planning'!$I$50),('Retirement Planning'!$J$50-'Retirement Planning'!$J$49)*'Retirement Planning'!$I$50)+MIN(MAX(0,((SUM(Z83:Z94)-'Retirement Planning'!$I$53-'Retirement Planning'!$I$54)-'Retirement Planning'!$J$48)*'Retirement Planning'!$I$49),('Retirement Planning'!$J$49-'Retirement Planning'!$J$48)*'Retirement Planning'!$I$49)+MIN(((SUM(Z83:Z94)-'Retirement Planning'!$I$53-'Retirement Planning'!$I$54))*'Retirement Planning'!$I$48,('Retirement Planning'!$J$48)*'Retirement Planning'!$I$48))+(IF((SUM(Z83:Z94)-'Retirement Planning'!$I$54-'Retirement Planning'!$I$61)&gt;'Retirement Planning'!$J$59,(SUM(Z83:Z94)-'Retirement Planning'!$I$54-'Retirement Planning'!$I$61-'Retirement Planning'!$J$59)*'Retirement Planning'!$I$60+'Retirement Planning'!$K$59,IF((SUM(Z83:Z94)-'Retirement Planning'!$I$54-'Retirement Planning'!$I$61)&gt;'Retirement Planning'!$J$58,(SUM(Z83:Z94)-'Retirement Planning'!$I$54-'Retirement Planning'!$I$61-'Retirement Planning'!$J$58)*'Retirement Planning'!$I$59+'Retirement Planning'!$K$58,IF((SUM(Z83:Z94)-'Retirement Planning'!$I$54-'Retirement Planning'!$I$61)&gt;'Retirement Planning'!$J$57,(SUM(Z83:Z94)-'Retirement Planning'!$I$54-'Retirement Planning'!$I$61-'Retirement Planning'!$J$57)*'Retirement Planning'!$I$58+'Retirement Planning'!$K$57,IF((SUM(Z83:Z94)-'Retirement Planning'!$I$54-'Retirement Planning'!$I$61)&gt;'Retirement Planning'!$J$56,(SUM(Z83:Z94)-'Retirement Planning'!$I$54-'Retirement Planning'!$I$61-'Retirement Planning'!$J$56)*'Retirement Planning'!$I$57+'Retirement Planning'!$K$56,(SUM(Z83:Z94)-'Retirement Planning'!$I$54-'Retirement Planning'!$I$61)*'Retirement Planning'!$I$56))))))/12,AA94)</f>
        <v>1375.8987454207447</v>
      </c>
      <c r="AB95" s="104">
        <f t="shared" ca="1" si="21"/>
        <v>0.19953142145484654</v>
      </c>
      <c r="AC95" s="7">
        <f>IF(B95&lt;65,'Retirement Planning'!$J$28,0)</f>
        <v>583</v>
      </c>
      <c r="AD95" s="7">
        <f>IF(B95&lt;65,'Retirement Planning'!$J$29/12,0)</f>
        <v>291.66666666666669</v>
      </c>
      <c r="AE95" s="22">
        <f>'Retirement Planning'!$J$31/12</f>
        <v>58.333333333333336</v>
      </c>
      <c r="AF95" s="22">
        <f>'Retirement Planning'!$J$32/12</f>
        <v>66.666666666666671</v>
      </c>
      <c r="AG95" s="7">
        <f>IF($B95&gt;64.9,'Retirement Planning'!$J$39/12,0)</f>
        <v>0</v>
      </c>
      <c r="AH95" s="7">
        <f>IF($B95&gt;64.9,'Retirement Planning'!$J$40/12,0)</f>
        <v>0</v>
      </c>
      <c r="AI95" s="7">
        <f>IF($B95&gt;64.9,'Retirement Planning'!$J$41/12,0)</f>
        <v>0</v>
      </c>
      <c r="AJ95" s="7">
        <f t="shared" ca="1" si="31"/>
        <v>641.33333333333337</v>
      </c>
      <c r="AK95" s="3" t="str">
        <f t="shared" ca="1" si="32"/>
        <v>N/A</v>
      </c>
      <c r="AL95" s="6" t="str">
        <f t="shared" ca="1" si="33"/>
        <v>N/A</v>
      </c>
      <c r="AM95" s="7">
        <f t="shared" ca="1" si="34"/>
        <v>2.2737367544323206E-13</v>
      </c>
      <c r="AN95" s="7">
        <f t="shared" ca="1" si="35"/>
        <v>8980.6391047580855</v>
      </c>
      <c r="AO95" s="7">
        <f t="shared" si="36"/>
        <v>999.66666666666674</v>
      </c>
    </row>
    <row r="96" spans="1:41" x14ac:dyDescent="0.2">
      <c r="A96">
        <f t="shared" si="37"/>
        <v>50</v>
      </c>
      <c r="B96" s="5">
        <f t="shared" si="38"/>
        <v>63.5</v>
      </c>
      <c r="C96" s="56">
        <f t="shared" si="39"/>
        <v>49035</v>
      </c>
      <c r="D96" s="57">
        <f ca="1">IF(AND(B95&lt;59.5,OR(B96&gt;59.5,B96=59.5)),(D95-E95+J95-K95)*(1+'Retirement Planning'!$J$23/12),(D95-E95)*(1+'Retirement Planning'!$J$23/12))</f>
        <v>270097.18736179534</v>
      </c>
      <c r="E96" s="58">
        <f t="shared" ca="1" si="26"/>
        <v>884.64857214817948</v>
      </c>
      <c r="F96" s="57">
        <f ca="1">IF(AND(OR(B96&gt;59.5,B96=59.5),B95&lt;59.5),(F95-G95+L95-M95+N95-O95)*(1+'Retirement Planning'!$J$23/12),(F95-G95)*(1+'Retirement Planning'!$J$23/12))</f>
        <v>1128562.4032119804</v>
      </c>
      <c r="G96" s="58">
        <f ca="1">IF(AND($B$10&lt;55,B96&lt;59.5),'Retirement Planning'!$J$25,IF(OR(B96&gt;59.5,B96=59.5),MAX(0,MIN(F96,IF(D96&lt;2500,((Y96+AJ96+AA96))-X96,((Y96+AJ96+AA96)*'Retirement Planning'!$J$44)-X96))),0))</f>
        <v>5770.4676748540487</v>
      </c>
      <c r="H96" s="255">
        <f ca="1">IF(MONTH(C96)=1,IF(B96&gt;69.5,F96/(INDEX('Retirement Planning'!D$1:D$264,(160+INT(B96))))/12,0),IF(F96=0,0,H95))</f>
        <v>0</v>
      </c>
      <c r="I96" s="262">
        <f t="shared" ca="1" si="27"/>
        <v>0</v>
      </c>
      <c r="J96" s="254">
        <f ca="1">IF(AND(B95&lt;59.5,OR(B96=59.5,B96&gt;59.5)),0,(J95-K95)*(1+'Retirement Planning'!$J$23/12))</f>
        <v>0</v>
      </c>
      <c r="K96" s="58">
        <f t="shared" ca="1" si="28"/>
        <v>0</v>
      </c>
      <c r="L96" s="57">
        <f>IF(AND(OR(B96&gt;59.5,B96=59.5),B95&lt;59.5),0,(L95-M95)*(1+'Retirement Planning'!$J$23/12))</f>
        <v>0</v>
      </c>
      <c r="M96" s="59">
        <f>IF(AND($B$10&lt;55,B96&lt;59.5),0,IF(B96&lt;59.5,MAX(0,MIN((($Y96+$AJ96+AA96)*'Retirement Planning'!$J$44)-$G96-$X96,L96)),0))</f>
        <v>0</v>
      </c>
      <c r="N96" s="57">
        <f ca="1">(N95-O95)*(1+'Retirement Planning'!$J$23/12)</f>
        <v>0</v>
      </c>
      <c r="O96" s="59">
        <f ca="1">IF(B96&gt;59.5,MAX(0,MIN((AA96+$Y96+$AJ96)*(IF(D96&lt;(MIN(E84:E95)+1),1,'Retirement Planning'!$J$44))-M96-$G96-$X96-(IF(D96&lt;(MIN(E84:E95)+1),D96,0)),N96)),0)</f>
        <v>0</v>
      </c>
      <c r="P96" s="57">
        <f t="shared" si="40"/>
        <v>0</v>
      </c>
      <c r="Q96" s="58">
        <f t="shared" si="41"/>
        <v>0</v>
      </c>
      <c r="R96" s="57">
        <f ca="1">(R95-S95-T95)*(1+'Retirement Planning'!$J$23/12)</f>
        <v>268870.99184636935</v>
      </c>
      <c r="S96" s="58">
        <f t="shared" ca="1" si="42"/>
        <v>358.33333333333337</v>
      </c>
      <c r="T96" s="273">
        <f t="shared" ca="1" si="29"/>
        <v>4.5474735088646412E-13</v>
      </c>
      <c r="U96" s="57">
        <f ca="1">(U95-V95)*(1+'Retirement Planning'!$J$23/12)</f>
        <v>225519.99127093705</v>
      </c>
      <c r="V96" s="24">
        <f ca="1">IF(AND($B$10&lt;55,B96&lt;59.5),MIN(U96,MAX(0,(Y96+AA96+AJ96-G96)*'Retirement Planning'!$J$45)),IF(B96&lt;59.5,(MIN(U96,MAX(0,((Y96+AA96+AJ96)-G96-M96)*'Retirement Planning'!$J$45))),MIN(U96,MAX(0,(Y96+AA96+AJ96-G96-M96-K96-X96)*'Retirement Planning'!$J$45))))</f>
        <v>753.58952442252325</v>
      </c>
      <c r="W96" s="7">
        <f t="shared" ca="1" si="30"/>
        <v>1893050.573691082</v>
      </c>
      <c r="X96" s="7">
        <f>(IF(B96&gt;'Retirement Planning'!$J$34,IF('Retirement Planning'!$J$34=70,'Retirement Planning'!$J$37/12,IF('Retirement Planning'!$J$34=67,'Retirement Planning'!$J$36/12,'Retirement Planning'!$J$35/12)),0))*'Retirement Planning'!$J$38</f>
        <v>1213.6000000000001</v>
      </c>
      <c r="Y96" s="7">
        <f ca="1">'Retirement Planning'!$F$35*((1+'Retirement Planning'!$J$24)^(YEAR('Projected Retirement Drawdown'!C96)-YEAR(TODAY())))</f>
        <v>6605.0736926706741</v>
      </c>
      <c r="Z96" s="7">
        <f ca="1">G96+M96+O96+0.85*X96+V96*'Retirement Planning'!$J$46+T96</f>
        <v>7216.5019132864381</v>
      </c>
      <c r="AA96" s="7">
        <f ca="1">IF(MONTH(C96)=1,(((MIN(MAX(0,((SUM(Z84:Z95)-'Retirement Planning'!$I$53-'Retirement Planning'!$I$54)-'Retirement Planning'!$J$51)*'Retirement Planning'!$I$52))))+(MIN(MAX(0,((SUM(Z84:Z95)-'Retirement Planning'!$I$53-'Retirement Planning'!$I$54)-'Retirement Planning'!$J$50)*'Retirement Planning'!$I$51),('Retirement Planning'!$J$51-'Retirement Planning'!$J$50)*'Retirement Planning'!$I$51))+(MIN(MAX(0,((SUM(Z84:Z95)-'Retirement Planning'!$I$53-'Retirement Planning'!$I$54)-'Retirement Planning'!$J$49)*'Retirement Planning'!$I$50),('Retirement Planning'!$J$50-'Retirement Planning'!$J$49)*'Retirement Planning'!$I$50)+MIN(MAX(0,((SUM(Z84:Z95)-'Retirement Planning'!$I$53-'Retirement Planning'!$I$54)-'Retirement Planning'!$J$48)*'Retirement Planning'!$I$49),('Retirement Planning'!$J$49-'Retirement Planning'!$J$48)*'Retirement Planning'!$I$49)+MIN(((SUM(Z84:Z95)-'Retirement Planning'!$I$53-'Retirement Planning'!$I$54))*'Retirement Planning'!$I$48,('Retirement Planning'!$J$48)*'Retirement Planning'!$I$48))+(IF((SUM(Z84:Z95)-'Retirement Planning'!$I$54-'Retirement Planning'!$I$61)&gt;'Retirement Planning'!$J$59,(SUM(Z84:Z95)-'Retirement Planning'!$I$54-'Retirement Planning'!$I$61-'Retirement Planning'!$J$59)*'Retirement Planning'!$I$60+'Retirement Planning'!$K$59,IF((SUM(Z84:Z95)-'Retirement Planning'!$I$54-'Retirement Planning'!$I$61)&gt;'Retirement Planning'!$J$58,(SUM(Z84:Z95)-'Retirement Planning'!$I$54-'Retirement Planning'!$I$61-'Retirement Planning'!$J$58)*'Retirement Planning'!$I$59+'Retirement Planning'!$K$58,IF((SUM(Z84:Z95)-'Retirement Planning'!$I$54-'Retirement Planning'!$I$61)&gt;'Retirement Planning'!$J$57,(SUM(Z84:Z95)-'Retirement Planning'!$I$54-'Retirement Planning'!$I$61-'Retirement Planning'!$J$57)*'Retirement Planning'!$I$58+'Retirement Planning'!$K$57,IF((SUM(Z84:Z95)-'Retirement Planning'!$I$54-'Retirement Planning'!$I$61)&gt;'Retirement Planning'!$J$56,(SUM(Z84:Z95)-'Retirement Planning'!$I$54-'Retirement Planning'!$I$61-'Retirement Planning'!$J$56)*'Retirement Planning'!$I$57+'Retirement Planning'!$K$56,(SUM(Z84:Z95)-'Retirement Planning'!$I$54-'Retirement Planning'!$I$61)*'Retirement Planning'!$I$56))))))/12,AA95)</f>
        <v>1375.8987454207447</v>
      </c>
      <c r="AB96" s="104">
        <f t="shared" ca="1" si="21"/>
        <v>0.19953142145484654</v>
      </c>
      <c r="AC96" s="7">
        <f>IF(B96&lt;65,'Retirement Planning'!$J$28,0)</f>
        <v>583</v>
      </c>
      <c r="AD96" s="7">
        <f>IF(B96&lt;65,'Retirement Planning'!$J$29/12,0)</f>
        <v>291.66666666666669</v>
      </c>
      <c r="AE96" s="22">
        <f>'Retirement Planning'!$J$31/12</f>
        <v>58.333333333333336</v>
      </c>
      <c r="AF96" s="22">
        <f>'Retirement Planning'!$J$32/12</f>
        <v>66.666666666666671</v>
      </c>
      <c r="AG96" s="7">
        <f>IF($B96&gt;64.9,'Retirement Planning'!$J$39/12,0)</f>
        <v>0</v>
      </c>
      <c r="AH96" s="7">
        <f>IF($B96&gt;64.9,'Retirement Planning'!$J$40/12,0)</f>
        <v>0</v>
      </c>
      <c r="AI96" s="7">
        <f>IF($B96&gt;64.9,'Retirement Planning'!$J$41/12,0)</f>
        <v>0</v>
      </c>
      <c r="AJ96" s="7">
        <f t="shared" ca="1" si="31"/>
        <v>641.33333333333337</v>
      </c>
      <c r="AK96" s="3" t="str">
        <f t="shared" ca="1" si="32"/>
        <v>N/A</v>
      </c>
      <c r="AL96" s="6" t="str">
        <f t="shared" ca="1" si="33"/>
        <v>N/A</v>
      </c>
      <c r="AM96" s="7">
        <f t="shared" ca="1" si="34"/>
        <v>2.2737367544323206E-13</v>
      </c>
      <c r="AN96" s="7">
        <f t="shared" ca="1" si="35"/>
        <v>8980.6391047580855</v>
      </c>
      <c r="AO96" s="7">
        <f t="shared" si="36"/>
        <v>999.66666666666674</v>
      </c>
    </row>
    <row r="97" spans="1:41" x14ac:dyDescent="0.2">
      <c r="A97">
        <f t="shared" si="37"/>
        <v>50</v>
      </c>
      <c r="B97" s="5">
        <f t="shared" si="38"/>
        <v>63.5</v>
      </c>
      <c r="C97" s="56">
        <f t="shared" si="39"/>
        <v>49065</v>
      </c>
      <c r="D97" s="57">
        <f ca="1">IF(AND(B96&lt;59.5,OR(B97&gt;59.5,B97=59.5)),(D96-E96+J96-K96)*(1+'Retirement Planning'!$J$23/12),(D96-E96)*(1+'Retirement Planning'!$J$23/12))</f>
        <v>271119.46093940717</v>
      </c>
      <c r="E97" s="58">
        <f t="shared" ca="1" si="26"/>
        <v>884.64857214817948</v>
      </c>
      <c r="F97" s="57">
        <f ca="1">IF(AND(OR(B97&gt;59.5,B97=59.5),B96&lt;59.5),(F96-G96+L96-M96+N96-O96)*(1+'Retirement Planning'!$J$23/12),(F96-G96)*(1+'Retirement Planning'!$J$23/12))</f>
        <v>1130745.0450805144</v>
      </c>
      <c r="G97" s="58">
        <f ca="1">IF(AND($B$10&lt;55,B97&lt;59.5),'Retirement Planning'!$J$25,IF(OR(B97&gt;59.5,B97=59.5),MAX(0,MIN(F97,IF(D97&lt;2500,((Y97+AJ97+AA97))-X97,((Y97+AJ97+AA97)*'Retirement Planning'!$J$44)-X97))),0))</f>
        <v>5770.4676748540487</v>
      </c>
      <c r="H97" s="255">
        <f ca="1">IF(MONTH(C97)=1,IF(B97&gt;69.5,F97/(INDEX('Retirement Planning'!D$1:D$264,(160+INT(B97))))/12,0),IF(F97=0,0,H96))</f>
        <v>0</v>
      </c>
      <c r="I97" s="262">
        <f t="shared" ca="1" si="27"/>
        <v>0</v>
      </c>
      <c r="J97" s="254">
        <f ca="1">IF(AND(B96&lt;59.5,OR(B97=59.5,B97&gt;59.5)),0,(J96-K96)*(1+'Retirement Planning'!$J$23/12))</f>
        <v>0</v>
      </c>
      <c r="K97" s="58">
        <f t="shared" ca="1" si="28"/>
        <v>0</v>
      </c>
      <c r="L97" s="57">
        <f>IF(AND(OR(B97&gt;59.5,B97=59.5),B96&lt;59.5),0,(L96-M96)*(1+'Retirement Planning'!$J$23/12))</f>
        <v>0</v>
      </c>
      <c r="M97" s="59">
        <f>IF(AND($B$10&lt;55,B97&lt;59.5),0,IF(B97&lt;59.5,MAX(0,MIN((($Y97+$AJ97+AA97)*'Retirement Planning'!$J$44)-$G97-$X97,L97)),0))</f>
        <v>0</v>
      </c>
      <c r="N97" s="57">
        <f ca="1">(N96-O96)*(1+'Retirement Planning'!$J$23/12)</f>
        <v>0</v>
      </c>
      <c r="O97" s="59">
        <f ca="1">IF(B97&gt;59.5,MAX(0,MIN((AA97+$Y97+$AJ97)*(IF(D97&lt;(MIN(E85:E96)+1),1,'Retirement Planning'!$J$44))-M97-$G97-$X97-(IF(D97&lt;(MIN(E85:E96)+1),D97,0)),N97)),0)</f>
        <v>0</v>
      </c>
      <c r="P97" s="57">
        <f t="shared" si="40"/>
        <v>0</v>
      </c>
      <c r="Q97" s="58">
        <f t="shared" si="41"/>
        <v>0</v>
      </c>
      <c r="R97" s="57">
        <f ca="1">(R96-S96-T96)*(1+'Retirement Planning'!$J$23/12)</f>
        <v>270414.62317750335</v>
      </c>
      <c r="S97" s="58">
        <f t="shared" ca="1" si="42"/>
        <v>358.33333333333337</v>
      </c>
      <c r="T97" s="273">
        <f t="shared" ca="1" si="29"/>
        <v>4.5474735088646412E-13</v>
      </c>
      <c r="U97" s="57">
        <f ca="1">(U96-V96)*(1+'Retirement Planning'!$J$23/12)</f>
        <v>226358.49709221901</v>
      </c>
      <c r="V97" s="24">
        <f ca="1">IF(AND($B$10&lt;55,B97&lt;59.5),MIN(U97,MAX(0,(Y97+AA97+AJ97-G97)*'Retirement Planning'!$J$45)),IF(B97&lt;59.5,(MIN(U97,MAX(0,((Y97+AA97+AJ97)-G97-M97)*'Retirement Planning'!$J$45))),MIN(U97,MAX(0,(Y97+AA97+AJ97-G97-M97-K97-X97)*'Retirement Planning'!$J$45))))</f>
        <v>753.58952442252325</v>
      </c>
      <c r="W97" s="7">
        <f t="shared" ca="1" si="30"/>
        <v>1898637.6262896438</v>
      </c>
      <c r="X97" s="7">
        <f>(IF(B97&gt;'Retirement Planning'!$J$34,IF('Retirement Planning'!$J$34=70,'Retirement Planning'!$J$37/12,IF('Retirement Planning'!$J$34=67,'Retirement Planning'!$J$36/12,'Retirement Planning'!$J$35/12)),0))*'Retirement Planning'!$J$38</f>
        <v>1213.6000000000001</v>
      </c>
      <c r="Y97" s="7">
        <f ca="1">'Retirement Planning'!$F$35*((1+'Retirement Planning'!$J$24)^(YEAR('Projected Retirement Drawdown'!C97)-YEAR(TODAY())))</f>
        <v>6605.0736926706741</v>
      </c>
      <c r="Z97" s="7">
        <f ca="1">G97+M97+O97+0.85*X97+V97*'Retirement Planning'!$J$46+T97</f>
        <v>7216.5019132864381</v>
      </c>
      <c r="AA97" s="7">
        <f ca="1">IF(MONTH(C97)=1,(((MIN(MAX(0,((SUM(Z85:Z96)-'Retirement Planning'!$I$53-'Retirement Planning'!$I$54)-'Retirement Planning'!$J$51)*'Retirement Planning'!$I$52))))+(MIN(MAX(0,((SUM(Z85:Z96)-'Retirement Planning'!$I$53-'Retirement Planning'!$I$54)-'Retirement Planning'!$J$50)*'Retirement Planning'!$I$51),('Retirement Planning'!$J$51-'Retirement Planning'!$J$50)*'Retirement Planning'!$I$51))+(MIN(MAX(0,((SUM(Z85:Z96)-'Retirement Planning'!$I$53-'Retirement Planning'!$I$54)-'Retirement Planning'!$J$49)*'Retirement Planning'!$I$50),('Retirement Planning'!$J$50-'Retirement Planning'!$J$49)*'Retirement Planning'!$I$50)+MIN(MAX(0,((SUM(Z85:Z96)-'Retirement Planning'!$I$53-'Retirement Planning'!$I$54)-'Retirement Planning'!$J$48)*'Retirement Planning'!$I$49),('Retirement Planning'!$J$49-'Retirement Planning'!$J$48)*'Retirement Planning'!$I$49)+MIN(((SUM(Z85:Z96)-'Retirement Planning'!$I$53-'Retirement Planning'!$I$54))*'Retirement Planning'!$I$48,('Retirement Planning'!$J$48)*'Retirement Planning'!$I$48))+(IF((SUM(Z85:Z96)-'Retirement Planning'!$I$54-'Retirement Planning'!$I$61)&gt;'Retirement Planning'!$J$59,(SUM(Z85:Z96)-'Retirement Planning'!$I$54-'Retirement Planning'!$I$61-'Retirement Planning'!$J$59)*'Retirement Planning'!$I$60+'Retirement Planning'!$K$59,IF((SUM(Z85:Z96)-'Retirement Planning'!$I$54-'Retirement Planning'!$I$61)&gt;'Retirement Planning'!$J$58,(SUM(Z85:Z96)-'Retirement Planning'!$I$54-'Retirement Planning'!$I$61-'Retirement Planning'!$J$58)*'Retirement Planning'!$I$59+'Retirement Planning'!$K$58,IF((SUM(Z85:Z96)-'Retirement Planning'!$I$54-'Retirement Planning'!$I$61)&gt;'Retirement Planning'!$J$57,(SUM(Z85:Z96)-'Retirement Planning'!$I$54-'Retirement Planning'!$I$61-'Retirement Planning'!$J$57)*'Retirement Planning'!$I$58+'Retirement Planning'!$K$57,IF((SUM(Z85:Z96)-'Retirement Planning'!$I$54-'Retirement Planning'!$I$61)&gt;'Retirement Planning'!$J$56,(SUM(Z85:Z96)-'Retirement Planning'!$I$54-'Retirement Planning'!$I$61-'Retirement Planning'!$J$56)*'Retirement Planning'!$I$57+'Retirement Planning'!$K$56,(SUM(Z85:Z96)-'Retirement Planning'!$I$54-'Retirement Planning'!$I$61)*'Retirement Planning'!$I$56))))))/12,AA96)</f>
        <v>1375.8987454207447</v>
      </c>
      <c r="AB97" s="104">
        <f t="shared" ca="1" si="21"/>
        <v>0.19953142145484654</v>
      </c>
      <c r="AC97" s="7">
        <f>IF(B97&lt;65,'Retirement Planning'!$J$28,0)</f>
        <v>583</v>
      </c>
      <c r="AD97" s="7">
        <f>IF(B97&lt;65,'Retirement Planning'!$J$29/12,0)</f>
        <v>291.66666666666669</v>
      </c>
      <c r="AE97" s="22">
        <f>'Retirement Planning'!$J$31/12</f>
        <v>58.333333333333336</v>
      </c>
      <c r="AF97" s="22">
        <f>'Retirement Planning'!$J$32/12</f>
        <v>66.666666666666671</v>
      </c>
      <c r="AG97" s="7">
        <f>IF($B97&gt;64.9,'Retirement Planning'!$J$39/12,0)</f>
        <v>0</v>
      </c>
      <c r="AH97" s="7">
        <f>IF($B97&gt;64.9,'Retirement Planning'!$J$40/12,0)</f>
        <v>0</v>
      </c>
      <c r="AI97" s="7">
        <f>IF($B97&gt;64.9,'Retirement Planning'!$J$41/12,0)</f>
        <v>0</v>
      </c>
      <c r="AJ97" s="7">
        <f t="shared" ca="1" si="31"/>
        <v>641.33333333333337</v>
      </c>
      <c r="AK97" s="3" t="str">
        <f t="shared" ca="1" si="32"/>
        <v>N/A</v>
      </c>
      <c r="AL97" s="6" t="str">
        <f t="shared" ca="1" si="33"/>
        <v>N/A</v>
      </c>
      <c r="AM97" s="7">
        <f t="shared" ca="1" si="34"/>
        <v>2.2737367544323206E-13</v>
      </c>
      <c r="AN97" s="7">
        <f t="shared" ca="1" si="35"/>
        <v>8980.6391047580855</v>
      </c>
      <c r="AO97" s="7">
        <f t="shared" si="36"/>
        <v>999.66666666666674</v>
      </c>
    </row>
    <row r="98" spans="1:41" x14ac:dyDescent="0.2">
      <c r="A98">
        <f t="shared" si="37"/>
        <v>50</v>
      </c>
      <c r="B98" s="5">
        <f t="shared" si="38"/>
        <v>63.6</v>
      </c>
      <c r="C98" s="56">
        <f t="shared" si="39"/>
        <v>49096</v>
      </c>
      <c r="D98" s="57">
        <f ca="1">IF(AND(B97&lt;59.5,OR(B98&gt;59.5,B98=59.5)),(D97-E97+J97-K97)*(1+'Retirement Planning'!$J$23/12),(D97-E97)*(1+'Retirement Planning'!$J$23/12))</f>
        <v>272148.97562152706</v>
      </c>
      <c r="E98" s="58">
        <f t="shared" ca="1" si="26"/>
        <v>884.64857214817948</v>
      </c>
      <c r="F98" s="57">
        <f ca="1">IF(AND(OR(B98&gt;59.5,B98=59.5),B97&lt;59.5),(F97-G97+L97-M97+N97-O97)*(1+'Retirement Planning'!$J$23/12),(F97-G97)*(1+'Retirement Planning'!$J$23/12))</f>
        <v>1132943.1473289505</v>
      </c>
      <c r="G98" s="58">
        <f ca="1">IF(AND($B$10&lt;55,B98&lt;59.5),'Retirement Planning'!$J$25,IF(OR(B98&gt;59.5,B98=59.5),MAX(0,MIN(F98,IF(D98&lt;2500,((Y98+AJ98+AA98))-X98,((Y98+AJ98+AA98)*'Retirement Planning'!$J$44)-X98))),0))</f>
        <v>5770.4676748540487</v>
      </c>
      <c r="H98" s="255">
        <f ca="1">IF(MONTH(C98)=1,IF(B98&gt;69.5,F98/(INDEX('Retirement Planning'!D$1:D$264,(160+INT(B98))))/12,0),IF(F98=0,0,H97))</f>
        <v>0</v>
      </c>
      <c r="I98" s="262">
        <f t="shared" ca="1" si="27"/>
        <v>0</v>
      </c>
      <c r="J98" s="254">
        <f ca="1">IF(AND(B97&lt;59.5,OR(B98=59.5,B98&gt;59.5)),0,(J97-K97)*(1+'Retirement Planning'!$J$23/12))</f>
        <v>0</v>
      </c>
      <c r="K98" s="58">
        <f t="shared" ca="1" si="28"/>
        <v>0</v>
      </c>
      <c r="L98" s="57">
        <f>IF(AND(OR(B98&gt;59.5,B98=59.5),B97&lt;59.5),0,(L97-M97)*(1+'Retirement Planning'!$J$23/12))</f>
        <v>0</v>
      </c>
      <c r="M98" s="59">
        <f>IF(AND($B$10&lt;55,B98&lt;59.5),0,IF(B98&lt;59.5,MAX(0,MIN((($Y98+$AJ98+AA98)*'Retirement Planning'!$J$44)-$G98-$X98,L98)),0))</f>
        <v>0</v>
      </c>
      <c r="N98" s="57">
        <f ca="1">(N97-O97)*(1+'Retirement Planning'!$J$23/12)</f>
        <v>0</v>
      </c>
      <c r="O98" s="59">
        <f ca="1">IF(B98&gt;59.5,MAX(0,MIN((AA98+$Y98+$AJ98)*(IF(D98&lt;(MIN(E86:E97)+1),1,'Retirement Planning'!$J$44))-M98-$G98-$X98-(IF(D98&lt;(MIN(E86:E97)+1),D98,0)),N98)),0)</f>
        <v>0</v>
      </c>
      <c r="P98" s="57">
        <f t="shared" si="40"/>
        <v>0</v>
      </c>
      <c r="Q98" s="58">
        <f t="shared" si="41"/>
        <v>0</v>
      </c>
      <c r="R98" s="57">
        <f ca="1">(R97-S97-T97)*(1+'Retirement Planning'!$J$23/12)</f>
        <v>271969.1885638996</v>
      </c>
      <c r="S98" s="58">
        <f t="shared" ca="1" si="42"/>
        <v>358.33333333333337</v>
      </c>
      <c r="T98" s="273">
        <f t="shared" ca="1" si="29"/>
        <v>4.5474735088646412E-13</v>
      </c>
      <c r="U98" s="57">
        <f ca="1">(U97-V97)*(1+'Retirement Planning'!$J$23/12)</f>
        <v>227202.94232973506</v>
      </c>
      <c r="V98" s="24">
        <f ca="1">IF(AND($B$10&lt;55,B98&lt;59.5),MIN(U98,MAX(0,(Y98+AA98+AJ98-G98)*'Retirement Planning'!$J$45)),IF(B98&lt;59.5,(MIN(U98,MAX(0,((Y98+AA98+AJ98)-G98-M98)*'Retirement Planning'!$J$45))),MIN(U98,MAX(0,(Y98+AA98+AJ98-G98-M98-K98-X98)*'Retirement Planning'!$J$45))))</f>
        <v>753.58952442252325</v>
      </c>
      <c r="W98" s="7">
        <f t="shared" ca="1" si="30"/>
        <v>1904264.2538441122</v>
      </c>
      <c r="X98" s="7">
        <f>(IF(B98&gt;'Retirement Planning'!$J$34,IF('Retirement Planning'!$J$34=70,'Retirement Planning'!$J$37/12,IF('Retirement Planning'!$J$34=67,'Retirement Planning'!$J$36/12,'Retirement Planning'!$J$35/12)),0))*'Retirement Planning'!$J$38</f>
        <v>1213.6000000000001</v>
      </c>
      <c r="Y98" s="7">
        <f ca="1">'Retirement Planning'!$F$35*((1+'Retirement Planning'!$J$24)^(YEAR('Projected Retirement Drawdown'!C98)-YEAR(TODAY())))</f>
        <v>6605.0736926706741</v>
      </c>
      <c r="Z98" s="7">
        <f ca="1">G98+M98+O98+0.85*X98+V98*'Retirement Planning'!$J$46+T98</f>
        <v>7216.5019132864381</v>
      </c>
      <c r="AA98" s="7">
        <f ca="1">IF(MONTH(C98)=1,(((MIN(MAX(0,((SUM(Z86:Z97)-'Retirement Planning'!$I$53-'Retirement Planning'!$I$54)-'Retirement Planning'!$J$51)*'Retirement Planning'!$I$52))))+(MIN(MAX(0,((SUM(Z86:Z97)-'Retirement Planning'!$I$53-'Retirement Planning'!$I$54)-'Retirement Planning'!$J$50)*'Retirement Planning'!$I$51),('Retirement Planning'!$J$51-'Retirement Planning'!$J$50)*'Retirement Planning'!$I$51))+(MIN(MAX(0,((SUM(Z86:Z97)-'Retirement Planning'!$I$53-'Retirement Planning'!$I$54)-'Retirement Planning'!$J$49)*'Retirement Planning'!$I$50),('Retirement Planning'!$J$50-'Retirement Planning'!$J$49)*'Retirement Planning'!$I$50)+MIN(MAX(0,((SUM(Z86:Z97)-'Retirement Planning'!$I$53-'Retirement Planning'!$I$54)-'Retirement Planning'!$J$48)*'Retirement Planning'!$I$49),('Retirement Planning'!$J$49-'Retirement Planning'!$J$48)*'Retirement Planning'!$I$49)+MIN(((SUM(Z86:Z97)-'Retirement Planning'!$I$53-'Retirement Planning'!$I$54))*'Retirement Planning'!$I$48,('Retirement Planning'!$J$48)*'Retirement Planning'!$I$48))+(IF((SUM(Z86:Z97)-'Retirement Planning'!$I$54-'Retirement Planning'!$I$61)&gt;'Retirement Planning'!$J$59,(SUM(Z86:Z97)-'Retirement Planning'!$I$54-'Retirement Planning'!$I$61-'Retirement Planning'!$J$59)*'Retirement Planning'!$I$60+'Retirement Planning'!$K$59,IF((SUM(Z86:Z97)-'Retirement Planning'!$I$54-'Retirement Planning'!$I$61)&gt;'Retirement Planning'!$J$58,(SUM(Z86:Z97)-'Retirement Planning'!$I$54-'Retirement Planning'!$I$61-'Retirement Planning'!$J$58)*'Retirement Planning'!$I$59+'Retirement Planning'!$K$58,IF((SUM(Z86:Z97)-'Retirement Planning'!$I$54-'Retirement Planning'!$I$61)&gt;'Retirement Planning'!$J$57,(SUM(Z86:Z97)-'Retirement Planning'!$I$54-'Retirement Planning'!$I$61-'Retirement Planning'!$J$57)*'Retirement Planning'!$I$58+'Retirement Planning'!$K$57,IF((SUM(Z86:Z97)-'Retirement Planning'!$I$54-'Retirement Planning'!$I$61)&gt;'Retirement Planning'!$J$56,(SUM(Z86:Z97)-'Retirement Planning'!$I$54-'Retirement Planning'!$I$61-'Retirement Planning'!$J$56)*'Retirement Planning'!$I$57+'Retirement Planning'!$K$56,(SUM(Z86:Z97)-'Retirement Planning'!$I$54-'Retirement Planning'!$I$61)*'Retirement Planning'!$I$56))))))/12,AA97)</f>
        <v>1375.8987454207447</v>
      </c>
      <c r="AB98" s="104">
        <f t="shared" ca="1" si="21"/>
        <v>0.19953142145484654</v>
      </c>
      <c r="AC98" s="7">
        <f>IF(B98&lt;65,'Retirement Planning'!$J$28,0)</f>
        <v>583</v>
      </c>
      <c r="AD98" s="7">
        <f>IF(B98&lt;65,'Retirement Planning'!$J$29/12,0)</f>
        <v>291.66666666666669</v>
      </c>
      <c r="AE98" s="22">
        <f>'Retirement Planning'!$J$31/12</f>
        <v>58.333333333333336</v>
      </c>
      <c r="AF98" s="22">
        <f>'Retirement Planning'!$J$32/12</f>
        <v>66.666666666666671</v>
      </c>
      <c r="AG98" s="7">
        <f>IF($B98&gt;64.9,'Retirement Planning'!$J$39/12,0)</f>
        <v>0</v>
      </c>
      <c r="AH98" s="7">
        <f>IF($B98&gt;64.9,'Retirement Planning'!$J$40/12,0)</f>
        <v>0</v>
      </c>
      <c r="AI98" s="7">
        <f>IF($B98&gt;64.9,'Retirement Planning'!$J$41/12,0)</f>
        <v>0</v>
      </c>
      <c r="AJ98" s="7">
        <f t="shared" ca="1" si="31"/>
        <v>641.33333333333337</v>
      </c>
      <c r="AK98" s="3" t="str">
        <f t="shared" ca="1" si="32"/>
        <v>N/A</v>
      </c>
      <c r="AL98" s="6" t="str">
        <f t="shared" ca="1" si="33"/>
        <v>N/A</v>
      </c>
      <c r="AM98" s="7">
        <f t="shared" ca="1" si="34"/>
        <v>2.2737367544323206E-13</v>
      </c>
      <c r="AN98" s="7">
        <f t="shared" ca="1" si="35"/>
        <v>8980.6391047580855</v>
      </c>
      <c r="AO98" s="7">
        <f t="shared" si="36"/>
        <v>999.66666666666674</v>
      </c>
    </row>
    <row r="99" spans="1:41" x14ac:dyDescent="0.2">
      <c r="A99">
        <f t="shared" si="37"/>
        <v>50</v>
      </c>
      <c r="B99" s="5">
        <f t="shared" si="38"/>
        <v>63.7</v>
      </c>
      <c r="C99" s="56">
        <f t="shared" si="39"/>
        <v>49126</v>
      </c>
      <c r="D99" s="57">
        <f ca="1">IF(AND(B98&lt;59.5,OR(B99&gt;59.5,B99=59.5)),(D98-E98+J98-K98)*(1+'Retirement Planning'!$J$23/12),(D98-E98)*(1+'Retirement Planning'!$J$23/12))</f>
        <v>273185.78269931197</v>
      </c>
      <c r="E99" s="58">
        <f t="shared" ca="1" si="26"/>
        <v>884.64857214817948</v>
      </c>
      <c r="F99" s="57">
        <f ca="1">IF(AND(OR(B99&gt;59.5,B99=59.5),B98&lt;59.5),(F98-G98+L98-M98+N98-O98)*(1+'Retirement Planning'!$J$23/12),(F98-G98)*(1+'Retirement Planning'!$J$23/12))</f>
        <v>1135156.8194683129</v>
      </c>
      <c r="G99" s="58">
        <f ca="1">IF(AND($B$10&lt;55,B99&lt;59.5),'Retirement Planning'!$J$25,IF(OR(B99&gt;59.5,B99=59.5),MAX(0,MIN(F99,IF(D99&lt;2500,((Y99+AJ99+AA99))-X99,((Y99+AJ99+AA99)*'Retirement Planning'!$J$44)-X99))),0))</f>
        <v>5770.4676748540487</v>
      </c>
      <c r="H99" s="255">
        <f ca="1">IF(MONTH(C99)=1,IF(B99&gt;69.5,F99/(INDEX('Retirement Planning'!D$1:D$264,(160+INT(B99))))/12,0),IF(F99=0,0,H98))</f>
        <v>0</v>
      </c>
      <c r="I99" s="262">
        <f t="shared" ca="1" si="27"/>
        <v>0</v>
      </c>
      <c r="J99" s="254">
        <f ca="1">IF(AND(B98&lt;59.5,OR(B99=59.5,B99&gt;59.5)),0,(J98-K98)*(1+'Retirement Planning'!$J$23/12))</f>
        <v>0</v>
      </c>
      <c r="K99" s="58">
        <f t="shared" ca="1" si="28"/>
        <v>0</v>
      </c>
      <c r="L99" s="57">
        <f>IF(AND(OR(B99&gt;59.5,B99=59.5),B98&lt;59.5),0,(L98-M98)*(1+'Retirement Planning'!$J$23/12))</f>
        <v>0</v>
      </c>
      <c r="M99" s="59">
        <f>IF(AND($B$10&lt;55,B99&lt;59.5),0,IF(B99&lt;59.5,MAX(0,MIN((($Y99+$AJ99+AA99)*'Retirement Planning'!$J$44)-$G99-$X99,L99)),0))</f>
        <v>0</v>
      </c>
      <c r="N99" s="57">
        <f ca="1">(N98-O98)*(1+'Retirement Planning'!$J$23/12)</f>
        <v>0</v>
      </c>
      <c r="O99" s="59">
        <f ca="1">IF(B99&gt;59.5,MAX(0,MIN((AA99+$Y99+$AJ99)*(IF(D99&lt;(MIN(E87:E98)+1),1,'Retirement Planning'!$J$44))-M99-$G99-$X99-(IF(D99&lt;(MIN(E87:E98)+1),D99,0)),N99)),0)</f>
        <v>0</v>
      </c>
      <c r="P99" s="57">
        <f t="shared" si="40"/>
        <v>0</v>
      </c>
      <c r="Q99" s="58">
        <f t="shared" si="41"/>
        <v>0</v>
      </c>
      <c r="R99" s="57">
        <f ca="1">(R98-S98-T98)*(1+'Retirement Planning'!$J$23/12)</f>
        <v>273534.76545511611</v>
      </c>
      <c r="S99" s="58">
        <f t="shared" ca="1" si="42"/>
        <v>358.33333333333337</v>
      </c>
      <c r="T99" s="273">
        <f t="shared" ca="1" si="29"/>
        <v>4.5474735088646412E-13</v>
      </c>
      <c r="U99" s="57">
        <f ca="1">(U98-V98)*(1+'Retirement Planning'!$J$23/12)</f>
        <v>228053.36905435019</v>
      </c>
      <c r="V99" s="24">
        <f ca="1">IF(AND($B$10&lt;55,B99&lt;59.5),MIN(U99,MAX(0,(Y99+AA99+AJ99-G99)*'Retirement Planning'!$J$45)),IF(B99&lt;59.5,(MIN(U99,MAX(0,((Y99+AA99+AJ99)-G99-M99)*'Retirement Planning'!$J$45))),MIN(U99,MAX(0,(Y99+AA99+AJ99-G99-M99-K99-X99)*'Retirement Planning'!$J$45))))</f>
        <v>753.58952442252325</v>
      </c>
      <c r="W99" s="7">
        <f t="shared" ca="1" si="30"/>
        <v>1909930.7366770911</v>
      </c>
      <c r="X99" s="7">
        <f>(IF(B99&gt;'Retirement Planning'!$J$34,IF('Retirement Planning'!$J$34=70,'Retirement Planning'!$J$37/12,IF('Retirement Planning'!$J$34=67,'Retirement Planning'!$J$36/12,'Retirement Planning'!$J$35/12)),0))*'Retirement Planning'!$J$38</f>
        <v>1213.6000000000001</v>
      </c>
      <c r="Y99" s="7">
        <f ca="1">'Retirement Planning'!$F$35*((1+'Retirement Planning'!$J$24)^(YEAR('Projected Retirement Drawdown'!C99)-YEAR(TODAY())))</f>
        <v>6605.0736926706741</v>
      </c>
      <c r="Z99" s="7">
        <f ca="1">G99+M99+O99+0.85*X99+V99*'Retirement Planning'!$J$46+T99</f>
        <v>7216.5019132864381</v>
      </c>
      <c r="AA99" s="7">
        <f ca="1">IF(MONTH(C99)=1,(((MIN(MAX(0,((SUM(Z87:Z98)-'Retirement Planning'!$I$53-'Retirement Planning'!$I$54)-'Retirement Planning'!$J$51)*'Retirement Planning'!$I$52))))+(MIN(MAX(0,((SUM(Z87:Z98)-'Retirement Planning'!$I$53-'Retirement Planning'!$I$54)-'Retirement Planning'!$J$50)*'Retirement Planning'!$I$51),('Retirement Planning'!$J$51-'Retirement Planning'!$J$50)*'Retirement Planning'!$I$51))+(MIN(MAX(0,((SUM(Z87:Z98)-'Retirement Planning'!$I$53-'Retirement Planning'!$I$54)-'Retirement Planning'!$J$49)*'Retirement Planning'!$I$50),('Retirement Planning'!$J$50-'Retirement Planning'!$J$49)*'Retirement Planning'!$I$50)+MIN(MAX(0,((SUM(Z87:Z98)-'Retirement Planning'!$I$53-'Retirement Planning'!$I$54)-'Retirement Planning'!$J$48)*'Retirement Planning'!$I$49),('Retirement Planning'!$J$49-'Retirement Planning'!$J$48)*'Retirement Planning'!$I$49)+MIN(((SUM(Z87:Z98)-'Retirement Planning'!$I$53-'Retirement Planning'!$I$54))*'Retirement Planning'!$I$48,('Retirement Planning'!$J$48)*'Retirement Planning'!$I$48))+(IF((SUM(Z87:Z98)-'Retirement Planning'!$I$54-'Retirement Planning'!$I$61)&gt;'Retirement Planning'!$J$59,(SUM(Z87:Z98)-'Retirement Planning'!$I$54-'Retirement Planning'!$I$61-'Retirement Planning'!$J$59)*'Retirement Planning'!$I$60+'Retirement Planning'!$K$59,IF((SUM(Z87:Z98)-'Retirement Planning'!$I$54-'Retirement Planning'!$I$61)&gt;'Retirement Planning'!$J$58,(SUM(Z87:Z98)-'Retirement Planning'!$I$54-'Retirement Planning'!$I$61-'Retirement Planning'!$J$58)*'Retirement Planning'!$I$59+'Retirement Planning'!$K$58,IF((SUM(Z87:Z98)-'Retirement Planning'!$I$54-'Retirement Planning'!$I$61)&gt;'Retirement Planning'!$J$57,(SUM(Z87:Z98)-'Retirement Planning'!$I$54-'Retirement Planning'!$I$61-'Retirement Planning'!$J$57)*'Retirement Planning'!$I$58+'Retirement Planning'!$K$57,IF((SUM(Z87:Z98)-'Retirement Planning'!$I$54-'Retirement Planning'!$I$61)&gt;'Retirement Planning'!$J$56,(SUM(Z87:Z98)-'Retirement Planning'!$I$54-'Retirement Planning'!$I$61-'Retirement Planning'!$J$56)*'Retirement Planning'!$I$57+'Retirement Planning'!$K$56,(SUM(Z87:Z98)-'Retirement Planning'!$I$54-'Retirement Planning'!$I$61)*'Retirement Planning'!$I$56))))))/12,AA98)</f>
        <v>1375.8987454207447</v>
      </c>
      <c r="AB99" s="104">
        <f t="shared" ca="1" si="21"/>
        <v>0.19953142145484654</v>
      </c>
      <c r="AC99" s="7">
        <f>IF(B99&lt;65,'Retirement Planning'!$J$28,0)</f>
        <v>583</v>
      </c>
      <c r="AD99" s="7">
        <f>IF(B99&lt;65,'Retirement Planning'!$J$29/12,0)</f>
        <v>291.66666666666669</v>
      </c>
      <c r="AE99" s="22">
        <f>'Retirement Planning'!$J$31/12</f>
        <v>58.333333333333336</v>
      </c>
      <c r="AF99" s="22">
        <f>'Retirement Planning'!$J$32/12</f>
        <v>66.666666666666671</v>
      </c>
      <c r="AG99" s="7">
        <f>IF($B99&gt;64.9,'Retirement Planning'!$J$39/12,0)</f>
        <v>0</v>
      </c>
      <c r="AH99" s="7">
        <f>IF($B99&gt;64.9,'Retirement Planning'!$J$40/12,0)</f>
        <v>0</v>
      </c>
      <c r="AI99" s="7">
        <f>IF($B99&gt;64.9,'Retirement Planning'!$J$41/12,0)</f>
        <v>0</v>
      </c>
      <c r="AJ99" s="7">
        <f t="shared" ca="1" si="31"/>
        <v>641.33333333333337</v>
      </c>
      <c r="AK99" s="3" t="str">
        <f t="shared" ca="1" si="32"/>
        <v>N/A</v>
      </c>
      <c r="AL99" s="6" t="str">
        <f t="shared" ca="1" si="33"/>
        <v>N/A</v>
      </c>
      <c r="AM99" s="7">
        <f t="shared" ca="1" si="34"/>
        <v>2.2737367544323206E-13</v>
      </c>
      <c r="AN99" s="7">
        <f t="shared" ca="1" si="35"/>
        <v>8980.6391047580855</v>
      </c>
      <c r="AO99" s="7">
        <f t="shared" si="36"/>
        <v>999.66666666666674</v>
      </c>
    </row>
    <row r="100" spans="1:41" x14ac:dyDescent="0.2">
      <c r="A100">
        <f t="shared" si="37"/>
        <v>50</v>
      </c>
      <c r="B100" s="5">
        <f t="shared" si="38"/>
        <v>63.8</v>
      </c>
      <c r="C100" s="56">
        <f t="shared" si="39"/>
        <v>49157</v>
      </c>
      <c r="D100" s="57">
        <f ca="1">IF(AND(B99&lt;59.5,OR(B100&gt;59.5,B100=59.5)),(D99-E99+J99-K99)*(1+'Retirement Planning'!$J$23/12),(D99-E99)*(1+'Retirement Planning'!$J$23/12))</f>
        <v>274229.93382723123</v>
      </c>
      <c r="E100" s="58">
        <f t="shared" ca="1" si="26"/>
        <v>884.64857214817948</v>
      </c>
      <c r="F100" s="57">
        <f ca="1">IF(AND(OR(B100&gt;59.5,B100=59.5),B99&lt;59.5),(F99-G99+L99-M99+N99-O99)*(1+'Retirement Planning'!$J$23/12),(F99-G99)*(1+'Retirement Planning'!$J$23/12))</f>
        <v>1137386.1717853292</v>
      </c>
      <c r="G100" s="58">
        <f ca="1">IF(AND($B$10&lt;55,B100&lt;59.5),'Retirement Planning'!$J$25,IF(OR(B100&gt;59.5,B100=59.5),MAX(0,MIN(F100,IF(D100&lt;2500,((Y100+AJ100+AA100))-X100,((Y100+AJ100+AA100)*'Retirement Planning'!$J$44)-X100))),0))</f>
        <v>5770.4676748540487</v>
      </c>
      <c r="H100" s="255">
        <f ca="1">IF(MONTH(C100)=1,IF(B100&gt;69.5,F100/(INDEX('Retirement Planning'!D$1:D$264,(160+INT(B100))))/12,0),IF(F100=0,0,H99))</f>
        <v>0</v>
      </c>
      <c r="I100" s="262">
        <f t="shared" ca="1" si="27"/>
        <v>0</v>
      </c>
      <c r="J100" s="254">
        <f ca="1">IF(AND(B99&lt;59.5,OR(B100=59.5,B100&gt;59.5)),0,(J99-K99)*(1+'Retirement Planning'!$J$23/12))</f>
        <v>0</v>
      </c>
      <c r="K100" s="58">
        <f t="shared" ca="1" si="28"/>
        <v>0</v>
      </c>
      <c r="L100" s="57">
        <f>IF(AND(OR(B100&gt;59.5,B100=59.5),B99&lt;59.5),0,(L99-M99)*(1+'Retirement Planning'!$J$23/12))</f>
        <v>0</v>
      </c>
      <c r="M100" s="59">
        <f>IF(AND($B$10&lt;55,B100&lt;59.5),0,IF(B100&lt;59.5,MAX(0,MIN((($Y100+$AJ100+AA100)*'Retirement Planning'!$J$44)-$G100-$X100,L100)),0))</f>
        <v>0</v>
      </c>
      <c r="N100" s="57">
        <f ca="1">(N99-O99)*(1+'Retirement Planning'!$J$23/12)</f>
        <v>0</v>
      </c>
      <c r="O100" s="59">
        <f ca="1">IF(B100&gt;59.5,MAX(0,MIN((AA100+$Y100+$AJ100)*(IF(D100&lt;(MIN(E88:E99)+1),1,'Retirement Planning'!$J$44))-M100-$G100-$X100-(IF(D100&lt;(MIN(E88:E99)+1),D100,0)),N100)),0)</f>
        <v>0</v>
      </c>
      <c r="P100" s="57">
        <f t="shared" si="40"/>
        <v>0</v>
      </c>
      <c r="Q100" s="58">
        <f t="shared" si="41"/>
        <v>0</v>
      </c>
      <c r="R100" s="57">
        <f ca="1">(R99-S99-T99)*(1+'Retirement Planning'!$J$23/12)</f>
        <v>275111.4318493121</v>
      </c>
      <c r="S100" s="58">
        <f t="shared" ca="1" si="42"/>
        <v>358.33333333333337</v>
      </c>
      <c r="T100" s="273">
        <f t="shared" ca="1" si="29"/>
        <v>4.5474735088646412E-13</v>
      </c>
      <c r="U100" s="57">
        <f ca="1">(U99-V99)*(1+'Retirement Planning'!$J$23/12)</f>
        <v>228909.81963493134</v>
      </c>
      <c r="V100" s="24">
        <f ca="1">IF(AND($B$10&lt;55,B100&lt;59.5),MIN(U100,MAX(0,(Y100+AA100+AJ100-G100)*'Retirement Planning'!$J$45)),IF(B100&lt;59.5,(MIN(U100,MAX(0,((Y100+AA100+AJ100)-G100-M100)*'Retirement Planning'!$J$45))),MIN(U100,MAX(0,(Y100+AA100+AJ100-G100-M100-K100-X100)*'Retirement Planning'!$J$45))))</f>
        <v>753.58952442252325</v>
      </c>
      <c r="W100" s="7">
        <f t="shared" ca="1" si="30"/>
        <v>1915637.3570968038</v>
      </c>
      <c r="X100" s="7">
        <f>(IF(B100&gt;'Retirement Planning'!$J$34,IF('Retirement Planning'!$J$34=70,'Retirement Planning'!$J$37/12,IF('Retirement Planning'!$J$34=67,'Retirement Planning'!$J$36/12,'Retirement Planning'!$J$35/12)),0))*'Retirement Planning'!$J$38</f>
        <v>1213.6000000000001</v>
      </c>
      <c r="Y100" s="7">
        <f ca="1">'Retirement Planning'!$F$35*((1+'Retirement Planning'!$J$24)^(YEAR('Projected Retirement Drawdown'!C100)-YEAR(TODAY())))</f>
        <v>6605.0736926706741</v>
      </c>
      <c r="Z100" s="7">
        <f ca="1">G100+M100+O100+0.85*X100+V100*'Retirement Planning'!$J$46+T100</f>
        <v>7216.5019132864381</v>
      </c>
      <c r="AA100" s="7">
        <f ca="1">IF(MONTH(C100)=1,(((MIN(MAX(0,((SUM(Z88:Z99)-'Retirement Planning'!$I$53-'Retirement Planning'!$I$54)-'Retirement Planning'!$J$51)*'Retirement Planning'!$I$52))))+(MIN(MAX(0,((SUM(Z88:Z99)-'Retirement Planning'!$I$53-'Retirement Planning'!$I$54)-'Retirement Planning'!$J$50)*'Retirement Planning'!$I$51),('Retirement Planning'!$J$51-'Retirement Planning'!$J$50)*'Retirement Planning'!$I$51))+(MIN(MAX(0,((SUM(Z88:Z99)-'Retirement Planning'!$I$53-'Retirement Planning'!$I$54)-'Retirement Planning'!$J$49)*'Retirement Planning'!$I$50),('Retirement Planning'!$J$50-'Retirement Planning'!$J$49)*'Retirement Planning'!$I$50)+MIN(MAX(0,((SUM(Z88:Z99)-'Retirement Planning'!$I$53-'Retirement Planning'!$I$54)-'Retirement Planning'!$J$48)*'Retirement Planning'!$I$49),('Retirement Planning'!$J$49-'Retirement Planning'!$J$48)*'Retirement Planning'!$I$49)+MIN(((SUM(Z88:Z99)-'Retirement Planning'!$I$53-'Retirement Planning'!$I$54))*'Retirement Planning'!$I$48,('Retirement Planning'!$J$48)*'Retirement Planning'!$I$48))+(IF((SUM(Z88:Z99)-'Retirement Planning'!$I$54-'Retirement Planning'!$I$61)&gt;'Retirement Planning'!$J$59,(SUM(Z88:Z99)-'Retirement Planning'!$I$54-'Retirement Planning'!$I$61-'Retirement Planning'!$J$59)*'Retirement Planning'!$I$60+'Retirement Planning'!$K$59,IF((SUM(Z88:Z99)-'Retirement Planning'!$I$54-'Retirement Planning'!$I$61)&gt;'Retirement Planning'!$J$58,(SUM(Z88:Z99)-'Retirement Planning'!$I$54-'Retirement Planning'!$I$61-'Retirement Planning'!$J$58)*'Retirement Planning'!$I$59+'Retirement Planning'!$K$58,IF((SUM(Z88:Z99)-'Retirement Planning'!$I$54-'Retirement Planning'!$I$61)&gt;'Retirement Planning'!$J$57,(SUM(Z88:Z99)-'Retirement Planning'!$I$54-'Retirement Planning'!$I$61-'Retirement Planning'!$J$57)*'Retirement Planning'!$I$58+'Retirement Planning'!$K$57,IF((SUM(Z88:Z99)-'Retirement Planning'!$I$54-'Retirement Planning'!$I$61)&gt;'Retirement Planning'!$J$56,(SUM(Z88:Z99)-'Retirement Planning'!$I$54-'Retirement Planning'!$I$61-'Retirement Planning'!$J$56)*'Retirement Planning'!$I$57+'Retirement Planning'!$K$56,(SUM(Z88:Z99)-'Retirement Planning'!$I$54-'Retirement Planning'!$I$61)*'Retirement Planning'!$I$56))))))/12,AA99)</f>
        <v>1375.8987454207447</v>
      </c>
      <c r="AB100" s="104">
        <f t="shared" ca="1" si="21"/>
        <v>0.19953142145484654</v>
      </c>
      <c r="AC100" s="7">
        <f>IF(B100&lt;65,'Retirement Planning'!$J$28,0)</f>
        <v>583</v>
      </c>
      <c r="AD100" s="7">
        <f>IF(B100&lt;65,'Retirement Planning'!$J$29/12,0)</f>
        <v>291.66666666666669</v>
      </c>
      <c r="AE100" s="22">
        <f>'Retirement Planning'!$J$31/12</f>
        <v>58.333333333333336</v>
      </c>
      <c r="AF100" s="22">
        <f>'Retirement Planning'!$J$32/12</f>
        <v>66.666666666666671</v>
      </c>
      <c r="AG100" s="7">
        <f>IF($B100&gt;64.9,'Retirement Planning'!$J$39/12,0)</f>
        <v>0</v>
      </c>
      <c r="AH100" s="7">
        <f>IF($B100&gt;64.9,'Retirement Planning'!$J$40/12,0)</f>
        <v>0</v>
      </c>
      <c r="AI100" s="7">
        <f>IF($B100&gt;64.9,'Retirement Planning'!$J$41/12,0)</f>
        <v>0</v>
      </c>
      <c r="AJ100" s="7">
        <f t="shared" ca="1" si="31"/>
        <v>641.33333333333337</v>
      </c>
      <c r="AK100" s="3" t="str">
        <f t="shared" ca="1" si="32"/>
        <v>N/A</v>
      </c>
      <c r="AL100" s="6" t="str">
        <f t="shared" ca="1" si="33"/>
        <v>N/A</v>
      </c>
      <c r="AM100" s="7">
        <f t="shared" ca="1" si="34"/>
        <v>2.2737367544323206E-13</v>
      </c>
      <c r="AN100" s="7">
        <f t="shared" ca="1" si="35"/>
        <v>8980.6391047580855</v>
      </c>
      <c r="AO100" s="7">
        <f t="shared" si="36"/>
        <v>999.66666666666674</v>
      </c>
    </row>
    <row r="101" spans="1:41" x14ac:dyDescent="0.2">
      <c r="A101">
        <f t="shared" si="37"/>
        <v>50</v>
      </c>
      <c r="B101" s="5">
        <f t="shared" si="38"/>
        <v>63.9</v>
      </c>
      <c r="C101" s="56">
        <f t="shared" si="39"/>
        <v>49188</v>
      </c>
      <c r="D101" s="57">
        <f ca="1">IF(AND(B100&lt;59.5,OR(B101&gt;59.5,B101=59.5)),(D100-E100+J100-K100)*(1+'Retirement Planning'!$J$23/12),(D100-E100)*(1+'Retirement Planning'!$J$23/12))</f>
        <v>275281.48102563992</v>
      </c>
      <c r="E101" s="58">
        <f t="shared" ca="1" si="26"/>
        <v>884.64857214817948</v>
      </c>
      <c r="F101" s="57">
        <f ca="1">IF(AND(OR(B101&gt;59.5,B101=59.5),B100&lt;59.5),(F100-G100+L100-M100+N100-O100)*(1+'Retirement Planning'!$J$23/12),(F100-G100)*(1+'Retirement Planning'!$J$23/12))</f>
        <v>1139631.3153479244</v>
      </c>
      <c r="G101" s="58">
        <f ca="1">IF(AND($B$10&lt;55,B101&lt;59.5),'Retirement Planning'!$J$25,IF(OR(B101&gt;59.5,B101=59.5),MAX(0,MIN(F101,IF(D101&lt;2500,((Y101+AJ101+AA101))-X101,((Y101+AJ101+AA101)*'Retirement Planning'!$J$44)-X101))),0))</f>
        <v>5770.4676748540487</v>
      </c>
      <c r="H101" s="255">
        <f ca="1">IF(MONTH(C101)=1,IF(B101&gt;69.5,F101/(INDEX('Retirement Planning'!D$1:D$264,(160+INT(B101))))/12,0),IF(F101=0,0,H100))</f>
        <v>0</v>
      </c>
      <c r="I101" s="262">
        <f t="shared" ca="1" si="27"/>
        <v>0</v>
      </c>
      <c r="J101" s="254">
        <f ca="1">IF(AND(B100&lt;59.5,OR(B101=59.5,B101&gt;59.5)),0,(J100-K100)*(1+'Retirement Planning'!$J$23/12))</f>
        <v>0</v>
      </c>
      <c r="K101" s="58">
        <f t="shared" ca="1" si="28"/>
        <v>0</v>
      </c>
      <c r="L101" s="57">
        <f>IF(AND(OR(B101&gt;59.5,B101=59.5),B100&lt;59.5),0,(L100-M100)*(1+'Retirement Planning'!$J$23/12))</f>
        <v>0</v>
      </c>
      <c r="M101" s="59">
        <f>IF(AND($B$10&lt;55,B101&lt;59.5),0,IF(B101&lt;59.5,MAX(0,MIN((($Y101+$AJ101+AA101)*'Retirement Planning'!$J$44)-$G101-$X101,L101)),0))</f>
        <v>0</v>
      </c>
      <c r="N101" s="57">
        <f ca="1">(N100-O100)*(1+'Retirement Planning'!$J$23/12)</f>
        <v>0</v>
      </c>
      <c r="O101" s="59">
        <f ca="1">IF(B101&gt;59.5,MAX(0,MIN((AA101+$Y101+$AJ101)*(IF(D101&lt;(MIN(E89:E100)+1),1,'Retirement Planning'!$J$44))-M101-$G101-$X101-(IF(D101&lt;(MIN(E89:E100)+1),D101,0)),N101)),0)</f>
        <v>0</v>
      </c>
      <c r="P101" s="57">
        <f t="shared" si="40"/>
        <v>0</v>
      </c>
      <c r="Q101" s="58">
        <f t="shared" si="41"/>
        <v>0</v>
      </c>
      <c r="R101" s="57">
        <f ca="1">(R100-S100-T100)*(1+'Retirement Planning'!$J$23/12)</f>
        <v>276699.26629713364</v>
      </c>
      <c r="S101" s="58">
        <f t="shared" ca="1" si="42"/>
        <v>358.33333333333337</v>
      </c>
      <c r="T101" s="273">
        <f t="shared" ca="1" si="29"/>
        <v>4.5474735088646412E-13</v>
      </c>
      <c r="U101" s="57">
        <f ca="1">(U100-V100)*(1+'Retirement Planning'!$J$23/12)</f>
        <v>229772.33674045827</v>
      </c>
      <c r="V101" s="24">
        <f ca="1">IF(AND($B$10&lt;55,B101&lt;59.5),MIN(U101,MAX(0,(Y101+AA101+AJ101-G101)*'Retirement Planning'!$J$45)),IF(B101&lt;59.5,(MIN(U101,MAX(0,((Y101+AA101+AJ101)-G101-M101)*'Retirement Planning'!$J$45))),MIN(U101,MAX(0,(Y101+AA101+AJ101-G101-M101-K101-X101)*'Retirement Planning'!$J$45))))</f>
        <v>753.58952442252325</v>
      </c>
      <c r="W101" s="7">
        <f t="shared" ca="1" si="30"/>
        <v>1921384.3994111563</v>
      </c>
      <c r="X101" s="7">
        <f>(IF(B101&gt;'Retirement Planning'!$J$34,IF('Retirement Planning'!$J$34=70,'Retirement Planning'!$J$37/12,IF('Retirement Planning'!$J$34=67,'Retirement Planning'!$J$36/12,'Retirement Planning'!$J$35/12)),0))*'Retirement Planning'!$J$38</f>
        <v>1213.6000000000001</v>
      </c>
      <c r="Y101" s="7">
        <f ca="1">'Retirement Planning'!$F$35*((1+'Retirement Planning'!$J$24)^(YEAR('Projected Retirement Drawdown'!C101)-YEAR(TODAY())))</f>
        <v>6605.0736926706741</v>
      </c>
      <c r="Z101" s="7">
        <f ca="1">G101+M101+O101+0.85*X101+V101*'Retirement Planning'!$J$46+T101</f>
        <v>7216.5019132864381</v>
      </c>
      <c r="AA101" s="7">
        <f ca="1">IF(MONTH(C101)=1,(((MIN(MAX(0,((SUM(Z89:Z100)-'Retirement Planning'!$I$53-'Retirement Planning'!$I$54)-'Retirement Planning'!$J$51)*'Retirement Planning'!$I$52))))+(MIN(MAX(0,((SUM(Z89:Z100)-'Retirement Planning'!$I$53-'Retirement Planning'!$I$54)-'Retirement Planning'!$J$50)*'Retirement Planning'!$I$51),('Retirement Planning'!$J$51-'Retirement Planning'!$J$50)*'Retirement Planning'!$I$51))+(MIN(MAX(0,((SUM(Z89:Z100)-'Retirement Planning'!$I$53-'Retirement Planning'!$I$54)-'Retirement Planning'!$J$49)*'Retirement Planning'!$I$50),('Retirement Planning'!$J$50-'Retirement Planning'!$J$49)*'Retirement Planning'!$I$50)+MIN(MAX(0,((SUM(Z89:Z100)-'Retirement Planning'!$I$53-'Retirement Planning'!$I$54)-'Retirement Planning'!$J$48)*'Retirement Planning'!$I$49),('Retirement Planning'!$J$49-'Retirement Planning'!$J$48)*'Retirement Planning'!$I$49)+MIN(((SUM(Z89:Z100)-'Retirement Planning'!$I$53-'Retirement Planning'!$I$54))*'Retirement Planning'!$I$48,('Retirement Planning'!$J$48)*'Retirement Planning'!$I$48))+(IF((SUM(Z89:Z100)-'Retirement Planning'!$I$54-'Retirement Planning'!$I$61)&gt;'Retirement Planning'!$J$59,(SUM(Z89:Z100)-'Retirement Planning'!$I$54-'Retirement Planning'!$I$61-'Retirement Planning'!$J$59)*'Retirement Planning'!$I$60+'Retirement Planning'!$K$59,IF((SUM(Z89:Z100)-'Retirement Planning'!$I$54-'Retirement Planning'!$I$61)&gt;'Retirement Planning'!$J$58,(SUM(Z89:Z100)-'Retirement Planning'!$I$54-'Retirement Planning'!$I$61-'Retirement Planning'!$J$58)*'Retirement Planning'!$I$59+'Retirement Planning'!$K$58,IF((SUM(Z89:Z100)-'Retirement Planning'!$I$54-'Retirement Planning'!$I$61)&gt;'Retirement Planning'!$J$57,(SUM(Z89:Z100)-'Retirement Planning'!$I$54-'Retirement Planning'!$I$61-'Retirement Planning'!$J$57)*'Retirement Planning'!$I$58+'Retirement Planning'!$K$57,IF((SUM(Z89:Z100)-'Retirement Planning'!$I$54-'Retirement Planning'!$I$61)&gt;'Retirement Planning'!$J$56,(SUM(Z89:Z100)-'Retirement Planning'!$I$54-'Retirement Planning'!$I$61-'Retirement Planning'!$J$56)*'Retirement Planning'!$I$57+'Retirement Planning'!$K$56,(SUM(Z89:Z100)-'Retirement Planning'!$I$54-'Retirement Planning'!$I$61)*'Retirement Planning'!$I$56))))))/12,AA100)</f>
        <v>1375.8987454207447</v>
      </c>
      <c r="AB101" s="104">
        <f t="shared" ca="1" si="21"/>
        <v>0.19953142145484654</v>
      </c>
      <c r="AC101" s="7">
        <f>IF(B101&lt;65,'Retirement Planning'!$J$28,0)</f>
        <v>583</v>
      </c>
      <c r="AD101" s="7">
        <f>IF(B101&lt;65,'Retirement Planning'!$J$29/12,0)</f>
        <v>291.66666666666669</v>
      </c>
      <c r="AE101" s="22">
        <f>'Retirement Planning'!$J$31/12</f>
        <v>58.333333333333336</v>
      </c>
      <c r="AF101" s="22">
        <f>'Retirement Planning'!$J$32/12</f>
        <v>66.666666666666671</v>
      </c>
      <c r="AG101" s="7">
        <f>IF($B101&gt;64.9,'Retirement Planning'!$J$39/12,0)</f>
        <v>0</v>
      </c>
      <c r="AH101" s="7">
        <f>IF($B101&gt;64.9,'Retirement Planning'!$J$40/12,0)</f>
        <v>0</v>
      </c>
      <c r="AI101" s="7">
        <f>IF($B101&gt;64.9,'Retirement Planning'!$J$41/12,0)</f>
        <v>0</v>
      </c>
      <c r="AJ101" s="7">
        <f t="shared" ca="1" si="31"/>
        <v>641.33333333333337</v>
      </c>
      <c r="AK101" s="3" t="str">
        <f t="shared" ca="1" si="32"/>
        <v>N/A</v>
      </c>
      <c r="AL101" s="6" t="str">
        <f t="shared" ca="1" si="33"/>
        <v>N/A</v>
      </c>
      <c r="AM101" s="7">
        <f t="shared" ca="1" si="34"/>
        <v>2.2737367544323206E-13</v>
      </c>
      <c r="AN101" s="7">
        <f t="shared" ca="1" si="35"/>
        <v>8980.6391047580855</v>
      </c>
      <c r="AO101" s="7">
        <f t="shared" si="36"/>
        <v>999.66666666666674</v>
      </c>
    </row>
    <row r="102" spans="1:41" x14ac:dyDescent="0.2">
      <c r="A102">
        <f t="shared" si="37"/>
        <v>50</v>
      </c>
      <c r="B102" s="5">
        <f t="shared" si="38"/>
        <v>64</v>
      </c>
      <c r="C102" s="56">
        <f t="shared" si="39"/>
        <v>49218</v>
      </c>
      <c r="D102" s="57">
        <f ca="1">IF(AND(B101&lt;59.5,OR(B102&gt;59.5,B102=59.5)),(D101-E101+J101-K101)*(1+'Retirement Planning'!$J$23/12),(D101-E101)*(1+'Retirement Planning'!$J$23/12))</f>
        <v>276340.47668337065</v>
      </c>
      <c r="E102" s="58">
        <f t="shared" ca="1" si="26"/>
        <v>884.64857214817948</v>
      </c>
      <c r="F102" s="57">
        <f ca="1">IF(AND(OR(B102&gt;59.5,B102=59.5),B101&lt;59.5),(F101-G101+L101-M101+N101-O101)*(1+'Retirement Planning'!$J$23/12),(F101-G101)*(1+'Retirement Planning'!$J$23/12))</f>
        <v>1141892.3620107546</v>
      </c>
      <c r="G102" s="58">
        <f ca="1">IF(AND($B$10&lt;55,B102&lt;59.5),'Retirement Planning'!$J$25,IF(OR(B102&gt;59.5,B102=59.5),MAX(0,MIN(F102,IF(D102&lt;2500,((Y102+AJ102+AA102))-X102,((Y102+AJ102+AA102)*'Retirement Planning'!$J$44)-X102))),0))</f>
        <v>5770.4676748540487</v>
      </c>
      <c r="H102" s="255">
        <f ca="1">IF(MONTH(C102)=1,IF(B102&gt;69.5,F102/(INDEX('Retirement Planning'!D$1:D$264,(160+INT(B102))))/12,0),IF(F102=0,0,H101))</f>
        <v>0</v>
      </c>
      <c r="I102" s="262">
        <f t="shared" ca="1" si="27"/>
        <v>0</v>
      </c>
      <c r="J102" s="254">
        <f ca="1">IF(AND(B101&lt;59.5,OR(B102=59.5,B102&gt;59.5)),0,(J101-K101)*(1+'Retirement Planning'!$J$23/12))</f>
        <v>0</v>
      </c>
      <c r="K102" s="58">
        <f t="shared" ca="1" si="28"/>
        <v>0</v>
      </c>
      <c r="L102" s="57">
        <f>IF(AND(OR(B102&gt;59.5,B102=59.5),B101&lt;59.5),0,(L101-M101)*(1+'Retirement Planning'!$J$23/12))</f>
        <v>0</v>
      </c>
      <c r="M102" s="59">
        <f>IF(AND($B$10&lt;55,B102&lt;59.5),0,IF(B102&lt;59.5,MAX(0,MIN((($Y102+$AJ102+AA102)*'Retirement Planning'!$J$44)-$G102-$X102,L102)),0))</f>
        <v>0</v>
      </c>
      <c r="N102" s="57">
        <f ca="1">(N101-O101)*(1+'Retirement Planning'!$J$23/12)</f>
        <v>0</v>
      </c>
      <c r="O102" s="59">
        <f ca="1">IF(B102&gt;59.5,MAX(0,MIN((AA102+$Y102+$AJ102)*(IF(D102&lt;(MIN(E90:E101)+1),1,'Retirement Planning'!$J$44))-M102-$G102-$X102-(IF(D102&lt;(MIN(E90:E101)+1),D102,0)),N102)),0)</f>
        <v>0</v>
      </c>
      <c r="P102" s="57">
        <f t="shared" si="40"/>
        <v>0</v>
      </c>
      <c r="Q102" s="58">
        <f t="shared" si="41"/>
        <v>0</v>
      </c>
      <c r="R102" s="57">
        <f ca="1">(R101-S101-T101)*(1+'Retirement Planning'!$J$23/12)</f>
        <v>278298.34790562722</v>
      </c>
      <c r="S102" s="58">
        <f t="shared" ca="1" si="42"/>
        <v>358.33333333333337</v>
      </c>
      <c r="T102" s="273">
        <f t="shared" ca="1" si="29"/>
        <v>4.5474735088646412E-13</v>
      </c>
      <c r="U102" s="57">
        <f ca="1">(U101-V101)*(1+'Retirement Planning'!$J$23/12)</f>
        <v>230640.96334214933</v>
      </c>
      <c r="V102" s="24">
        <f ca="1">IF(AND($B$10&lt;55,B102&lt;59.5),MIN(U102,MAX(0,(Y102+AA102+AJ102-G102)*'Retirement Planning'!$J$45)),IF(B102&lt;59.5,(MIN(U102,MAX(0,((Y102+AA102+AJ102)-G102-M102)*'Retirement Planning'!$J$45))),MIN(U102,MAX(0,(Y102+AA102+AJ102-G102-M102-K102-X102)*'Retirement Planning'!$J$45))))</f>
        <v>753.58952442252325</v>
      </c>
      <c r="W102" s="7">
        <f t="shared" ca="1" si="30"/>
        <v>1927172.1499419019</v>
      </c>
      <c r="X102" s="7">
        <f>(IF(B102&gt;'Retirement Planning'!$J$34,IF('Retirement Planning'!$J$34=70,'Retirement Planning'!$J$37/12,IF('Retirement Planning'!$J$34=67,'Retirement Planning'!$J$36/12,'Retirement Planning'!$J$35/12)),0))*'Retirement Planning'!$J$38</f>
        <v>1213.6000000000001</v>
      </c>
      <c r="Y102" s="7">
        <f ca="1">'Retirement Planning'!$F$35*((1+'Retirement Planning'!$J$24)^(YEAR('Projected Retirement Drawdown'!C102)-YEAR(TODAY())))</f>
        <v>6605.0736926706741</v>
      </c>
      <c r="Z102" s="7">
        <f ca="1">G102+M102+O102+0.85*X102+V102*'Retirement Planning'!$J$46+T102</f>
        <v>7216.5019132864381</v>
      </c>
      <c r="AA102" s="7">
        <f ca="1">IF(MONTH(C102)=1,(((MIN(MAX(0,((SUM(Z90:Z101)-'Retirement Planning'!$I$53-'Retirement Planning'!$I$54)-'Retirement Planning'!$J$51)*'Retirement Planning'!$I$52))))+(MIN(MAX(0,((SUM(Z90:Z101)-'Retirement Planning'!$I$53-'Retirement Planning'!$I$54)-'Retirement Planning'!$J$50)*'Retirement Planning'!$I$51),('Retirement Planning'!$J$51-'Retirement Planning'!$J$50)*'Retirement Planning'!$I$51))+(MIN(MAX(0,((SUM(Z90:Z101)-'Retirement Planning'!$I$53-'Retirement Planning'!$I$54)-'Retirement Planning'!$J$49)*'Retirement Planning'!$I$50),('Retirement Planning'!$J$50-'Retirement Planning'!$J$49)*'Retirement Planning'!$I$50)+MIN(MAX(0,((SUM(Z90:Z101)-'Retirement Planning'!$I$53-'Retirement Planning'!$I$54)-'Retirement Planning'!$J$48)*'Retirement Planning'!$I$49),('Retirement Planning'!$J$49-'Retirement Planning'!$J$48)*'Retirement Planning'!$I$49)+MIN(((SUM(Z90:Z101)-'Retirement Planning'!$I$53-'Retirement Planning'!$I$54))*'Retirement Planning'!$I$48,('Retirement Planning'!$J$48)*'Retirement Planning'!$I$48))+(IF((SUM(Z90:Z101)-'Retirement Planning'!$I$54-'Retirement Planning'!$I$61)&gt;'Retirement Planning'!$J$59,(SUM(Z90:Z101)-'Retirement Planning'!$I$54-'Retirement Planning'!$I$61-'Retirement Planning'!$J$59)*'Retirement Planning'!$I$60+'Retirement Planning'!$K$59,IF((SUM(Z90:Z101)-'Retirement Planning'!$I$54-'Retirement Planning'!$I$61)&gt;'Retirement Planning'!$J$58,(SUM(Z90:Z101)-'Retirement Planning'!$I$54-'Retirement Planning'!$I$61-'Retirement Planning'!$J$58)*'Retirement Planning'!$I$59+'Retirement Planning'!$K$58,IF((SUM(Z90:Z101)-'Retirement Planning'!$I$54-'Retirement Planning'!$I$61)&gt;'Retirement Planning'!$J$57,(SUM(Z90:Z101)-'Retirement Planning'!$I$54-'Retirement Planning'!$I$61-'Retirement Planning'!$J$57)*'Retirement Planning'!$I$58+'Retirement Planning'!$K$57,IF((SUM(Z90:Z101)-'Retirement Planning'!$I$54-'Retirement Planning'!$I$61)&gt;'Retirement Planning'!$J$56,(SUM(Z90:Z101)-'Retirement Planning'!$I$54-'Retirement Planning'!$I$61-'Retirement Planning'!$J$56)*'Retirement Planning'!$I$57+'Retirement Planning'!$K$56,(SUM(Z90:Z101)-'Retirement Planning'!$I$54-'Retirement Planning'!$I$61)*'Retirement Planning'!$I$56))))))/12,AA101)</f>
        <v>1375.8987454207447</v>
      </c>
      <c r="AB102" s="104">
        <f t="shared" ca="1" si="21"/>
        <v>0.19953142145484654</v>
      </c>
      <c r="AC102" s="7">
        <f>IF(B102&lt;65,'Retirement Planning'!$J$28,0)</f>
        <v>583</v>
      </c>
      <c r="AD102" s="7">
        <f>IF(B102&lt;65,'Retirement Planning'!$J$29/12,0)</f>
        <v>291.66666666666669</v>
      </c>
      <c r="AE102" s="22">
        <f>'Retirement Planning'!$J$31/12</f>
        <v>58.333333333333336</v>
      </c>
      <c r="AF102" s="22">
        <f>'Retirement Planning'!$J$32/12</f>
        <v>66.666666666666671</v>
      </c>
      <c r="AG102" s="7">
        <f>IF($B102&gt;64.9,'Retirement Planning'!$J$39/12,0)</f>
        <v>0</v>
      </c>
      <c r="AH102" s="7">
        <f>IF($B102&gt;64.9,'Retirement Planning'!$J$40/12,0)</f>
        <v>0</v>
      </c>
      <c r="AI102" s="7">
        <f>IF($B102&gt;64.9,'Retirement Planning'!$J$41/12,0)</f>
        <v>0</v>
      </c>
      <c r="AJ102" s="7">
        <f t="shared" ca="1" si="31"/>
        <v>641.33333333333337</v>
      </c>
      <c r="AK102" s="3" t="str">
        <f t="shared" ca="1" si="32"/>
        <v>N/A</v>
      </c>
      <c r="AL102" s="6" t="str">
        <f t="shared" ca="1" si="33"/>
        <v>N/A</v>
      </c>
      <c r="AM102" s="7">
        <f t="shared" ca="1" si="34"/>
        <v>2.2737367544323206E-13</v>
      </c>
      <c r="AN102" s="7">
        <f t="shared" ca="1" si="35"/>
        <v>8980.6391047580855</v>
      </c>
      <c r="AO102" s="7">
        <f t="shared" si="36"/>
        <v>999.66666666666674</v>
      </c>
    </row>
    <row r="103" spans="1:41" x14ac:dyDescent="0.2">
      <c r="A103">
        <f t="shared" si="37"/>
        <v>50</v>
      </c>
      <c r="B103" s="5">
        <f t="shared" si="38"/>
        <v>64</v>
      </c>
      <c r="C103" s="56">
        <f t="shared" si="39"/>
        <v>49249</v>
      </c>
      <c r="D103" s="57">
        <f ca="1">IF(AND(B102&lt;59.5,OR(B103&gt;59.5,B103=59.5)),(D102-E102+J102-K102)*(1+'Retirement Planning'!$J$23/12),(D102-E102)*(1+'Retirement Planning'!$J$23/12))</f>
        <v>277406.97356034361</v>
      </c>
      <c r="E103" s="58">
        <f t="shared" ca="1" si="26"/>
        <v>884.64857214817948</v>
      </c>
      <c r="F103" s="57">
        <f ca="1">IF(AND(OR(B103&gt;59.5,B103=59.5),B102&lt;59.5),(F102-G102+L102-M102+N102-O102)*(1+'Retirement Planning'!$J$23/12),(F102-G102)*(1+'Retirement Planning'!$J$23/12))</f>
        <v>1144169.42442078</v>
      </c>
      <c r="G103" s="58">
        <f ca="1">IF(AND($B$10&lt;55,B103&lt;59.5),'Retirement Planning'!$J$25,IF(OR(B103&gt;59.5,B103=59.5),MAX(0,MIN(F103,IF(D103&lt;2500,((Y103+AJ103+AA103))-X103,((Y103+AJ103+AA103)*'Retirement Planning'!$J$44)-X103))),0))</f>
        <v>5770.4676748540487</v>
      </c>
      <c r="H103" s="255">
        <f ca="1">IF(MONTH(C103)=1,IF(B103&gt;69.5,F103/(INDEX('Retirement Planning'!D$1:D$264,(160+INT(B103))))/12,0),IF(F103=0,0,H102))</f>
        <v>0</v>
      </c>
      <c r="I103" s="262">
        <f t="shared" ca="1" si="27"/>
        <v>0</v>
      </c>
      <c r="J103" s="254">
        <f ca="1">IF(AND(B102&lt;59.5,OR(B103=59.5,B103&gt;59.5)),0,(J102-K102)*(1+'Retirement Planning'!$J$23/12))</f>
        <v>0</v>
      </c>
      <c r="K103" s="58">
        <f t="shared" ca="1" si="28"/>
        <v>0</v>
      </c>
      <c r="L103" s="57">
        <f>IF(AND(OR(B103&gt;59.5,B103=59.5),B102&lt;59.5),0,(L102-M102)*(1+'Retirement Planning'!$J$23/12))</f>
        <v>0</v>
      </c>
      <c r="M103" s="59">
        <f>IF(AND($B$10&lt;55,B103&lt;59.5),0,IF(B103&lt;59.5,MAX(0,MIN((($Y103+$AJ103+AA103)*'Retirement Planning'!$J$44)-$G103-$X103,L103)),0))</f>
        <v>0</v>
      </c>
      <c r="N103" s="57">
        <f ca="1">(N102-O102)*(1+'Retirement Planning'!$J$23/12)</f>
        <v>0</v>
      </c>
      <c r="O103" s="59">
        <f ca="1">IF(B103&gt;59.5,MAX(0,MIN((AA103+$Y103+$AJ103)*(IF(D103&lt;(MIN(E91:E102)+1),1,'Retirement Planning'!$J$44))-M103-$G103-$X103-(IF(D103&lt;(MIN(E91:E102)+1),D103,0)),N103)),0)</f>
        <v>0</v>
      </c>
      <c r="P103" s="57">
        <f t="shared" si="40"/>
        <v>0</v>
      </c>
      <c r="Q103" s="58">
        <f t="shared" si="41"/>
        <v>0</v>
      </c>
      <c r="R103" s="57">
        <f ca="1">(R102-S102-T102)*(1+'Retirement Planning'!$J$23/12)</f>
        <v>279908.756342181</v>
      </c>
      <c r="S103" s="58">
        <f t="shared" ca="1" si="42"/>
        <v>358.33333333333337</v>
      </c>
      <c r="T103" s="273">
        <f t="shared" ca="1" si="29"/>
        <v>4.5474735088646412E-13</v>
      </c>
      <c r="U103" s="57">
        <f ca="1">(U102-V102)*(1+'Retirement Planning'!$J$23/12)</f>
        <v>231515.74271560239</v>
      </c>
      <c r="V103" s="24">
        <f ca="1">IF(AND($B$10&lt;55,B103&lt;59.5),MIN(U103,MAX(0,(Y103+AA103+AJ103-G103)*'Retirement Planning'!$J$45)),IF(B103&lt;59.5,(MIN(U103,MAX(0,((Y103+AA103+AJ103)-G103-M103)*'Retirement Planning'!$J$45))),MIN(U103,MAX(0,(Y103+AA103+AJ103-G103-M103-K103-X103)*'Retirement Planning'!$J$45))))</f>
        <v>753.58952442252325</v>
      </c>
      <c r="W103" s="7">
        <f t="shared" ca="1" si="30"/>
        <v>1933000.8970389068</v>
      </c>
      <c r="X103" s="7">
        <f>(IF(B103&gt;'Retirement Planning'!$J$34,IF('Retirement Planning'!$J$34=70,'Retirement Planning'!$J$37/12,IF('Retirement Planning'!$J$34=67,'Retirement Planning'!$J$36/12,'Retirement Planning'!$J$35/12)),0))*'Retirement Planning'!$J$38</f>
        <v>1213.6000000000001</v>
      </c>
      <c r="Y103" s="7">
        <f ca="1">'Retirement Planning'!$F$35*((1+'Retirement Planning'!$J$24)^(YEAR('Projected Retirement Drawdown'!C103)-YEAR(TODAY())))</f>
        <v>6605.0736926706741</v>
      </c>
      <c r="Z103" s="7">
        <f ca="1">G103+M103+O103+0.85*X103+V103*'Retirement Planning'!$J$46+T103</f>
        <v>7216.5019132864381</v>
      </c>
      <c r="AA103" s="7">
        <f ca="1">IF(MONTH(C103)=1,(((MIN(MAX(0,((SUM(Z91:Z102)-'Retirement Planning'!$I$53-'Retirement Planning'!$I$54)-'Retirement Planning'!$J$51)*'Retirement Planning'!$I$52))))+(MIN(MAX(0,((SUM(Z91:Z102)-'Retirement Planning'!$I$53-'Retirement Planning'!$I$54)-'Retirement Planning'!$J$50)*'Retirement Planning'!$I$51),('Retirement Planning'!$J$51-'Retirement Planning'!$J$50)*'Retirement Planning'!$I$51))+(MIN(MAX(0,((SUM(Z91:Z102)-'Retirement Planning'!$I$53-'Retirement Planning'!$I$54)-'Retirement Planning'!$J$49)*'Retirement Planning'!$I$50),('Retirement Planning'!$J$50-'Retirement Planning'!$J$49)*'Retirement Planning'!$I$50)+MIN(MAX(0,((SUM(Z91:Z102)-'Retirement Planning'!$I$53-'Retirement Planning'!$I$54)-'Retirement Planning'!$J$48)*'Retirement Planning'!$I$49),('Retirement Planning'!$J$49-'Retirement Planning'!$J$48)*'Retirement Planning'!$I$49)+MIN(((SUM(Z91:Z102)-'Retirement Planning'!$I$53-'Retirement Planning'!$I$54))*'Retirement Planning'!$I$48,('Retirement Planning'!$J$48)*'Retirement Planning'!$I$48))+(IF((SUM(Z91:Z102)-'Retirement Planning'!$I$54-'Retirement Planning'!$I$61)&gt;'Retirement Planning'!$J$59,(SUM(Z91:Z102)-'Retirement Planning'!$I$54-'Retirement Planning'!$I$61-'Retirement Planning'!$J$59)*'Retirement Planning'!$I$60+'Retirement Planning'!$K$59,IF((SUM(Z91:Z102)-'Retirement Planning'!$I$54-'Retirement Planning'!$I$61)&gt;'Retirement Planning'!$J$58,(SUM(Z91:Z102)-'Retirement Planning'!$I$54-'Retirement Planning'!$I$61-'Retirement Planning'!$J$58)*'Retirement Planning'!$I$59+'Retirement Planning'!$K$58,IF((SUM(Z91:Z102)-'Retirement Planning'!$I$54-'Retirement Planning'!$I$61)&gt;'Retirement Planning'!$J$57,(SUM(Z91:Z102)-'Retirement Planning'!$I$54-'Retirement Planning'!$I$61-'Retirement Planning'!$J$57)*'Retirement Planning'!$I$58+'Retirement Planning'!$K$57,IF((SUM(Z91:Z102)-'Retirement Planning'!$I$54-'Retirement Planning'!$I$61)&gt;'Retirement Planning'!$J$56,(SUM(Z91:Z102)-'Retirement Planning'!$I$54-'Retirement Planning'!$I$61-'Retirement Planning'!$J$56)*'Retirement Planning'!$I$57+'Retirement Planning'!$K$56,(SUM(Z91:Z102)-'Retirement Planning'!$I$54-'Retirement Planning'!$I$61)*'Retirement Planning'!$I$56))))))/12,AA102)</f>
        <v>1375.8987454207447</v>
      </c>
      <c r="AB103" s="104">
        <f t="shared" ca="1" si="21"/>
        <v>0.19953142145484654</v>
      </c>
      <c r="AC103" s="7">
        <f>IF(B103&lt;65,'Retirement Planning'!$J$28,0)</f>
        <v>583</v>
      </c>
      <c r="AD103" s="7">
        <f>IF(B103&lt;65,'Retirement Planning'!$J$29/12,0)</f>
        <v>291.66666666666669</v>
      </c>
      <c r="AE103" s="22">
        <f>'Retirement Planning'!$J$31/12</f>
        <v>58.333333333333336</v>
      </c>
      <c r="AF103" s="22">
        <f>'Retirement Planning'!$J$32/12</f>
        <v>66.666666666666671</v>
      </c>
      <c r="AG103" s="7">
        <f>IF($B103&gt;64.9,'Retirement Planning'!$J$39/12,0)</f>
        <v>0</v>
      </c>
      <c r="AH103" s="7">
        <f>IF($B103&gt;64.9,'Retirement Planning'!$J$40/12,0)</f>
        <v>0</v>
      </c>
      <c r="AI103" s="7">
        <f>IF($B103&gt;64.9,'Retirement Planning'!$J$41/12,0)</f>
        <v>0</v>
      </c>
      <c r="AJ103" s="7">
        <f t="shared" ca="1" si="31"/>
        <v>641.33333333333337</v>
      </c>
      <c r="AK103" s="3" t="str">
        <f t="shared" ca="1" si="32"/>
        <v>N/A</v>
      </c>
      <c r="AL103" s="6" t="str">
        <f t="shared" ca="1" si="33"/>
        <v>N/A</v>
      </c>
      <c r="AM103" s="7">
        <f t="shared" ca="1" si="34"/>
        <v>2.2737367544323206E-13</v>
      </c>
      <c r="AN103" s="7">
        <f t="shared" ca="1" si="35"/>
        <v>8980.6391047580855</v>
      </c>
      <c r="AO103" s="7">
        <f t="shared" si="36"/>
        <v>999.66666666666674</v>
      </c>
    </row>
    <row r="104" spans="1:41" x14ac:dyDescent="0.2">
      <c r="A104">
        <f t="shared" si="37"/>
        <v>50</v>
      </c>
      <c r="B104" s="5">
        <f t="shared" si="38"/>
        <v>64.099999999999994</v>
      </c>
      <c r="C104" s="56">
        <f t="shared" si="39"/>
        <v>49279</v>
      </c>
      <c r="D104" s="57">
        <f ca="1">IF(AND(B103&lt;59.5,OR(B104&gt;59.5,B104=59.5)),(D103-E103+J103-K103)*(1+'Retirement Planning'!$J$23/12),(D103-E103)*(1+'Retirement Planning'!$J$23/12))</f>
        <v>278481.02479019517</v>
      </c>
      <c r="E104" s="58">
        <f t="shared" ca="1" si="26"/>
        <v>884.64857214817948</v>
      </c>
      <c r="F104" s="57">
        <f ca="1">IF(AND(OR(B104&gt;59.5,B104=59.5),B103&lt;59.5),(F103-G103+L103-M103+N103-O103)*(1+'Retirement Planning'!$J$23/12),(F103-G103)*(1+'Retirement Planning'!$J$23/12))</f>
        <v>1146462.6160228765</v>
      </c>
      <c r="G104" s="58">
        <f ca="1">IF(AND($B$10&lt;55,B104&lt;59.5),'Retirement Planning'!$J$25,IF(OR(B104&gt;59.5,B104=59.5),MAX(0,MIN(F104,IF(D104&lt;2500,((Y104+AJ104+AA104))-X104,((Y104+AJ104+AA104)*'Retirement Planning'!$J$44)-X104))),0))</f>
        <v>5770.4676748540487</v>
      </c>
      <c r="H104" s="255">
        <f ca="1">IF(MONTH(C104)=1,IF(B104&gt;69.5,F104/(INDEX('Retirement Planning'!D$1:D$264,(160+INT(B104))))/12,0),IF(F104=0,0,H103))</f>
        <v>0</v>
      </c>
      <c r="I104" s="262">
        <f t="shared" ca="1" si="27"/>
        <v>0</v>
      </c>
      <c r="J104" s="254">
        <f ca="1">IF(AND(B103&lt;59.5,OR(B104=59.5,B104&gt;59.5)),0,(J103-K103)*(1+'Retirement Planning'!$J$23/12))</f>
        <v>0</v>
      </c>
      <c r="K104" s="58">
        <f t="shared" ca="1" si="28"/>
        <v>0</v>
      </c>
      <c r="L104" s="57">
        <f>IF(AND(OR(B104&gt;59.5,B104=59.5),B103&lt;59.5),0,(L103-M103)*(1+'Retirement Planning'!$J$23/12))</f>
        <v>0</v>
      </c>
      <c r="M104" s="59">
        <f>IF(AND($B$10&lt;55,B104&lt;59.5),0,IF(B104&lt;59.5,MAX(0,MIN((($Y104+$AJ104+AA104)*'Retirement Planning'!$J$44)-$G104-$X104,L104)),0))</f>
        <v>0</v>
      </c>
      <c r="N104" s="57">
        <f ca="1">(N103-O103)*(1+'Retirement Planning'!$J$23/12)</f>
        <v>0</v>
      </c>
      <c r="O104" s="59">
        <f ca="1">IF(B104&gt;59.5,MAX(0,MIN((AA104+$Y104+$AJ104)*(IF(D104&lt;(MIN(E92:E103)+1),1,'Retirement Planning'!$J$44))-M104-$G104-$X104-(IF(D104&lt;(MIN(E92:E103)+1),D104,0)),N104)),0)</f>
        <v>0</v>
      </c>
      <c r="P104" s="57">
        <f t="shared" si="40"/>
        <v>0</v>
      </c>
      <c r="Q104" s="58">
        <f t="shared" si="41"/>
        <v>0</v>
      </c>
      <c r="R104" s="57">
        <f ca="1">(R103-S103-T103)*(1+'Retirement Planning'!$J$23/12)</f>
        <v>281530.57183849369</v>
      </c>
      <c r="S104" s="58">
        <f t="shared" ca="1" si="42"/>
        <v>358.33333333333337</v>
      </c>
      <c r="T104" s="273">
        <f t="shared" ca="1" si="29"/>
        <v>4.5474735088646412E-13</v>
      </c>
      <c r="U104" s="57">
        <f ca="1">(U103-V103)*(1+'Retirement Planning'!$J$23/12)</f>
        <v>232396.71844295075</v>
      </c>
      <c r="V104" s="24">
        <f ca="1">IF(AND($B$10&lt;55,B104&lt;59.5),MIN(U104,MAX(0,(Y104+AA104+AJ104-G104)*'Retirement Planning'!$J$45)),IF(B104&lt;59.5,(MIN(U104,MAX(0,((Y104+AA104+AJ104)-G104-M104)*'Retirement Planning'!$J$45))),MIN(U104,MAX(0,(Y104+AA104+AJ104-G104-M104-K104-X104)*'Retirement Planning'!$J$45))))</f>
        <v>753.58952442252325</v>
      </c>
      <c r="W104" s="7">
        <f t="shared" ca="1" si="30"/>
        <v>1938870.9310945161</v>
      </c>
      <c r="X104" s="7">
        <f>(IF(B104&gt;'Retirement Planning'!$J$34,IF('Retirement Planning'!$J$34=70,'Retirement Planning'!$J$37/12,IF('Retirement Planning'!$J$34=67,'Retirement Planning'!$J$36/12,'Retirement Planning'!$J$35/12)),0))*'Retirement Planning'!$J$38</f>
        <v>1213.6000000000001</v>
      </c>
      <c r="Y104" s="7">
        <f ca="1">'Retirement Planning'!$F$35*((1+'Retirement Planning'!$J$24)^(YEAR('Projected Retirement Drawdown'!C104)-YEAR(TODAY())))</f>
        <v>6605.0736926706741</v>
      </c>
      <c r="Z104" s="7">
        <f ca="1">G104+M104+O104+0.85*X104+V104*'Retirement Planning'!$J$46+T104</f>
        <v>7216.5019132864381</v>
      </c>
      <c r="AA104" s="7">
        <f ca="1">IF(MONTH(C104)=1,(((MIN(MAX(0,((SUM(Z92:Z103)-'Retirement Planning'!$I$53-'Retirement Planning'!$I$54)-'Retirement Planning'!$J$51)*'Retirement Planning'!$I$52))))+(MIN(MAX(0,((SUM(Z92:Z103)-'Retirement Planning'!$I$53-'Retirement Planning'!$I$54)-'Retirement Planning'!$J$50)*'Retirement Planning'!$I$51),('Retirement Planning'!$J$51-'Retirement Planning'!$J$50)*'Retirement Planning'!$I$51))+(MIN(MAX(0,((SUM(Z92:Z103)-'Retirement Planning'!$I$53-'Retirement Planning'!$I$54)-'Retirement Planning'!$J$49)*'Retirement Planning'!$I$50),('Retirement Planning'!$J$50-'Retirement Planning'!$J$49)*'Retirement Planning'!$I$50)+MIN(MAX(0,((SUM(Z92:Z103)-'Retirement Planning'!$I$53-'Retirement Planning'!$I$54)-'Retirement Planning'!$J$48)*'Retirement Planning'!$I$49),('Retirement Planning'!$J$49-'Retirement Planning'!$J$48)*'Retirement Planning'!$I$49)+MIN(((SUM(Z92:Z103)-'Retirement Planning'!$I$53-'Retirement Planning'!$I$54))*'Retirement Planning'!$I$48,('Retirement Planning'!$J$48)*'Retirement Planning'!$I$48))+(IF((SUM(Z92:Z103)-'Retirement Planning'!$I$54-'Retirement Planning'!$I$61)&gt;'Retirement Planning'!$J$59,(SUM(Z92:Z103)-'Retirement Planning'!$I$54-'Retirement Planning'!$I$61-'Retirement Planning'!$J$59)*'Retirement Planning'!$I$60+'Retirement Planning'!$K$59,IF((SUM(Z92:Z103)-'Retirement Planning'!$I$54-'Retirement Planning'!$I$61)&gt;'Retirement Planning'!$J$58,(SUM(Z92:Z103)-'Retirement Planning'!$I$54-'Retirement Planning'!$I$61-'Retirement Planning'!$J$58)*'Retirement Planning'!$I$59+'Retirement Planning'!$K$58,IF((SUM(Z92:Z103)-'Retirement Planning'!$I$54-'Retirement Planning'!$I$61)&gt;'Retirement Planning'!$J$57,(SUM(Z92:Z103)-'Retirement Planning'!$I$54-'Retirement Planning'!$I$61-'Retirement Planning'!$J$57)*'Retirement Planning'!$I$58+'Retirement Planning'!$K$57,IF((SUM(Z92:Z103)-'Retirement Planning'!$I$54-'Retirement Planning'!$I$61)&gt;'Retirement Planning'!$J$56,(SUM(Z92:Z103)-'Retirement Planning'!$I$54-'Retirement Planning'!$I$61-'Retirement Planning'!$J$56)*'Retirement Planning'!$I$57+'Retirement Planning'!$K$56,(SUM(Z92:Z103)-'Retirement Planning'!$I$54-'Retirement Planning'!$I$61)*'Retirement Planning'!$I$56))))))/12,AA103)</f>
        <v>1375.8987454207447</v>
      </c>
      <c r="AB104" s="104">
        <f t="shared" ca="1" si="21"/>
        <v>0.19953142145484654</v>
      </c>
      <c r="AC104" s="7">
        <f>IF(B104&lt;65,'Retirement Planning'!$J$28,0)</f>
        <v>583</v>
      </c>
      <c r="AD104" s="7">
        <f>IF(B104&lt;65,'Retirement Planning'!$J$29/12,0)</f>
        <v>291.66666666666669</v>
      </c>
      <c r="AE104" s="22">
        <f>'Retirement Planning'!$J$31/12</f>
        <v>58.333333333333336</v>
      </c>
      <c r="AF104" s="22">
        <f>'Retirement Planning'!$J$32/12</f>
        <v>66.666666666666671</v>
      </c>
      <c r="AG104" s="7">
        <f>IF($B104&gt;64.9,'Retirement Planning'!$J$39/12,0)</f>
        <v>0</v>
      </c>
      <c r="AH104" s="7">
        <f>IF($B104&gt;64.9,'Retirement Planning'!$J$40/12,0)</f>
        <v>0</v>
      </c>
      <c r="AI104" s="7">
        <f>IF($B104&gt;64.9,'Retirement Planning'!$J$41/12,0)</f>
        <v>0</v>
      </c>
      <c r="AJ104" s="7">
        <f t="shared" ca="1" si="31"/>
        <v>641.33333333333337</v>
      </c>
      <c r="AK104" s="3" t="str">
        <f t="shared" ca="1" si="32"/>
        <v>N/A</v>
      </c>
      <c r="AL104" s="6" t="str">
        <f t="shared" ca="1" si="33"/>
        <v>N/A</v>
      </c>
      <c r="AM104" s="7">
        <f t="shared" ca="1" si="34"/>
        <v>2.2737367544323206E-13</v>
      </c>
      <c r="AN104" s="7">
        <f t="shared" ca="1" si="35"/>
        <v>8980.6391047580855</v>
      </c>
      <c r="AO104" s="7">
        <f t="shared" si="36"/>
        <v>999.66666666666674</v>
      </c>
    </row>
    <row r="105" spans="1:41" x14ac:dyDescent="0.2">
      <c r="A105">
        <f t="shared" si="37"/>
        <v>50</v>
      </c>
      <c r="B105" s="5">
        <f t="shared" si="38"/>
        <v>64.2</v>
      </c>
      <c r="C105" s="56">
        <f t="shared" si="39"/>
        <v>49310</v>
      </c>
      <c r="D105" s="57">
        <f ca="1">IF(AND(B104&lt;59.5,OR(B105&gt;59.5,B105=59.5)),(D104-E104+J104-K104)*(1+'Retirement Planning'!$J$23/12),(D104-E104)*(1+'Retirement Planning'!$J$23/12))</f>
        <v>279562.68388292484</v>
      </c>
      <c r="E105" s="58">
        <f t="shared" ca="1" si="26"/>
        <v>917.99304135744478</v>
      </c>
      <c r="F105" s="57">
        <f ca="1">IF(AND(OR(B105&gt;59.5,B105=59.5),B104&lt;59.5),(F104-G104+L104-M104+N104-O104)*(1+'Retirement Planning'!$J$23/12),(F104-G104)*(1+'Retirement Planning'!$J$23/12))</f>
        <v>1148772.0510654876</v>
      </c>
      <c r="G105" s="58">
        <f ca="1">IF(AND($B$10&lt;55,B105&lt;59.5),'Retirement Planning'!$J$25,IF(OR(B105&gt;59.5,B105=59.5),MAX(0,MIN(F105,IF(D105&lt;2500,((Y105+AJ105+AA105))-X105,((Y105+AJ105+AA105)*'Retirement Planning'!$J$44)-X105))),0))</f>
        <v>6033.7134844008715</v>
      </c>
      <c r="H105" s="255">
        <f>IF(MONTH(C105)=1,IF(B105&gt;69.5,F105/(INDEX('Retirement Planning'!D$1:D$264,(160+INT(B105))))/12,0),IF(F105=0,0,H104))</f>
        <v>0</v>
      </c>
      <c r="I105" s="262">
        <f t="shared" ca="1" si="27"/>
        <v>0</v>
      </c>
      <c r="J105" s="254">
        <f ca="1">IF(AND(B104&lt;59.5,OR(B105=59.5,B105&gt;59.5)),0,(J104-K104)*(1+'Retirement Planning'!$J$23/12))</f>
        <v>0</v>
      </c>
      <c r="K105" s="58">
        <f t="shared" ca="1" si="28"/>
        <v>0</v>
      </c>
      <c r="L105" s="57">
        <f>IF(AND(OR(B105&gt;59.5,B105=59.5),B104&lt;59.5),0,(L104-M104)*(1+'Retirement Planning'!$J$23/12))</f>
        <v>0</v>
      </c>
      <c r="M105" s="59">
        <f>IF(AND($B$10&lt;55,B105&lt;59.5),0,IF(B105&lt;59.5,MAX(0,MIN((($Y105+$AJ105+AA105)*'Retirement Planning'!$J$44)-$G105-$X105,L105)),0))</f>
        <v>0</v>
      </c>
      <c r="N105" s="57">
        <f ca="1">(N104-O104)*(1+'Retirement Planning'!$J$23/12)</f>
        <v>0</v>
      </c>
      <c r="O105" s="59">
        <f ca="1">IF(B105&gt;59.5,MAX(0,MIN((AA105+$Y105+$AJ105)*(IF(D105&lt;(MIN(E93:E104)+1),1,'Retirement Planning'!$J$44))-M105-$G105-$X105-(IF(D105&lt;(MIN(E93:E104)+1),D105,0)),N105)),0)</f>
        <v>0</v>
      </c>
      <c r="P105" s="57">
        <f t="shared" si="40"/>
        <v>0</v>
      </c>
      <c r="Q105" s="58">
        <f t="shared" si="41"/>
        <v>0</v>
      </c>
      <c r="R105" s="57">
        <f ca="1">(R104-S104-T104)*(1+'Retirement Planning'!$J$23/12)</f>
        <v>283163.87519457191</v>
      </c>
      <c r="S105" s="58">
        <f t="shared" ca="1" si="42"/>
        <v>358.33333333333337</v>
      </c>
      <c r="T105" s="273">
        <f t="shared" ca="1" si="29"/>
        <v>-4.5474735088646412E-13</v>
      </c>
      <c r="U105" s="57">
        <f ca="1">(U104-V104)*(1+'Retirement Planning'!$J$23/12)</f>
        <v>233283.93441503448</v>
      </c>
      <c r="V105" s="24">
        <f ca="1">IF(AND($B$10&lt;55,B105&lt;59.5),MIN(U105,MAX(0,(Y105+AA105+AJ105-G105)*'Retirement Planning'!$J$45)),IF(B105&lt;59.5,(MIN(U105,MAX(0,((Y105+AA105+AJ105)-G105-M105)*'Retirement Planning'!$J$45))),MIN(U105,MAX(0,(Y105+AA105+AJ105-G105-M105-K105-X105)*'Retirement Planning'!$J$45))))</f>
        <v>781.99407226745302</v>
      </c>
      <c r="W105" s="7">
        <f t="shared" ca="1" si="30"/>
        <v>1944782.5445580189</v>
      </c>
      <c r="X105" s="7">
        <f>(IF(B105&gt;'Retirement Planning'!$J$34,IF('Retirement Planning'!$J$34=70,'Retirement Planning'!$J$37/12,IF('Retirement Planning'!$J$34=67,'Retirement Planning'!$J$36/12,'Retirement Planning'!$J$35/12)),0))*'Retirement Planning'!$J$38</f>
        <v>1213.6000000000001</v>
      </c>
      <c r="Y105" s="7">
        <f ca="1">'Retirement Planning'!$F$35*((1+'Retirement Planning'!$J$24)^(YEAR('Projected Retirement Drawdown'!C105)-YEAR(TODAY())))</f>
        <v>6836.2512719141469</v>
      </c>
      <c r="Z105" s="7">
        <f ca="1">G105+M105+O105+0.85*X105+V105*'Retirement Planning'!$J$46+T105</f>
        <v>7495.3702241479714</v>
      </c>
      <c r="AA105" s="7">
        <f ca="1">IF(MONTH(C105)=1,(((MIN(MAX(0,((SUM(Z93:Z104)-'Retirement Planning'!$I$53-'Retirement Planning'!$I$54)-'Retirement Planning'!$J$51)*'Retirement Planning'!$I$52))))+(MIN(MAX(0,((SUM(Z93:Z104)-'Retirement Planning'!$I$53-'Retirement Planning'!$I$54)-'Retirement Planning'!$J$50)*'Retirement Planning'!$I$51),('Retirement Planning'!$J$51-'Retirement Planning'!$J$50)*'Retirement Planning'!$I$51))+(MIN(MAX(0,((SUM(Z93:Z104)-'Retirement Planning'!$I$53-'Retirement Planning'!$I$54)-'Retirement Planning'!$J$49)*'Retirement Planning'!$I$50),('Retirement Planning'!$J$50-'Retirement Planning'!$J$49)*'Retirement Planning'!$I$50)+MIN(MAX(0,((SUM(Z93:Z104)-'Retirement Planning'!$I$53-'Retirement Planning'!$I$54)-'Retirement Planning'!$J$48)*'Retirement Planning'!$I$49),('Retirement Planning'!$J$49-'Retirement Planning'!$J$48)*'Retirement Planning'!$I$49)+MIN(((SUM(Z93:Z104)-'Retirement Planning'!$I$53-'Retirement Planning'!$I$54))*'Retirement Planning'!$I$48,('Retirement Planning'!$J$48)*'Retirement Planning'!$I$48))+(IF((SUM(Z93:Z104)-'Retirement Planning'!$I$54-'Retirement Planning'!$I$61)&gt;'Retirement Planning'!$J$59,(SUM(Z93:Z104)-'Retirement Planning'!$I$54-'Retirement Planning'!$I$61-'Retirement Planning'!$J$59)*'Retirement Planning'!$I$60+'Retirement Planning'!$K$59,IF((SUM(Z93:Z104)-'Retirement Planning'!$I$54-'Retirement Planning'!$I$61)&gt;'Retirement Planning'!$J$58,(SUM(Z93:Z104)-'Retirement Planning'!$I$54-'Retirement Planning'!$I$61-'Retirement Planning'!$J$58)*'Retirement Planning'!$I$59+'Retirement Planning'!$K$58,IF((SUM(Z93:Z104)-'Retirement Planning'!$I$54-'Retirement Planning'!$I$61)&gt;'Retirement Planning'!$J$57,(SUM(Z93:Z104)-'Retirement Planning'!$I$54-'Retirement Planning'!$I$61-'Retirement Planning'!$J$57)*'Retirement Planning'!$I$58+'Retirement Planning'!$K$57,IF((SUM(Z93:Z104)-'Retirement Planning'!$I$54-'Retirement Planning'!$I$61)&gt;'Retirement Planning'!$J$56,(SUM(Z93:Z104)-'Retirement Planning'!$I$54-'Retirement Planning'!$I$61-'Retirement Planning'!$J$56)*'Retirement Planning'!$I$57+'Retirement Planning'!$K$56,(SUM(Z93:Z104)-'Retirement Planning'!$I$54-'Retirement Planning'!$I$61)*'Retirement Planning'!$I$56))))))/12,AA104)</f>
        <v>1469.715992778288</v>
      </c>
      <c r="AB105" s="104">
        <f t="shared" ref="AB105" ca="1" si="47">SUM(AA105:AA116)/SUM(Z93:Z104)</f>
        <v>0.20366044524596694</v>
      </c>
      <c r="AC105" s="7">
        <f>IF(B105&lt;65,'Retirement Planning'!$J$28,0)</f>
        <v>583</v>
      </c>
      <c r="AD105" s="7">
        <f>IF(B105&lt;65,'Retirement Planning'!$J$29/12,0)</f>
        <v>291.66666666666669</v>
      </c>
      <c r="AE105" s="22">
        <f>'Retirement Planning'!$J$31/12</f>
        <v>58.333333333333336</v>
      </c>
      <c r="AF105" s="22">
        <f>'Retirement Planning'!$J$32/12</f>
        <v>66.666666666666671</v>
      </c>
      <c r="AG105" s="7">
        <f>IF($B105&gt;64.9,'Retirement Planning'!$J$39/12,0)</f>
        <v>0</v>
      </c>
      <c r="AH105" s="7">
        <f>IF($B105&gt;64.9,'Retirement Planning'!$J$40/12,0)</f>
        <v>0</v>
      </c>
      <c r="AI105" s="7">
        <f>IF($B105&gt;64.9,'Retirement Planning'!$J$41/12,0)</f>
        <v>0</v>
      </c>
      <c r="AJ105" s="7">
        <f t="shared" ca="1" si="31"/>
        <v>641.33333333333337</v>
      </c>
      <c r="AK105" s="3" t="str">
        <f t="shared" ca="1" si="32"/>
        <v>N/A</v>
      </c>
      <c r="AL105" s="6" t="str">
        <f t="shared" ca="1" si="33"/>
        <v>N/A</v>
      </c>
      <c r="AM105" s="7">
        <f t="shared" ca="1" si="34"/>
        <v>-6.8212102632969618E-13</v>
      </c>
      <c r="AN105" s="7">
        <f t="shared" ca="1" si="35"/>
        <v>9305.6339313591016</v>
      </c>
      <c r="AO105" s="7">
        <f t="shared" si="36"/>
        <v>999.66666666666674</v>
      </c>
    </row>
    <row r="106" spans="1:41" x14ac:dyDescent="0.2">
      <c r="A106">
        <f t="shared" si="37"/>
        <v>50</v>
      </c>
      <c r="B106" s="5">
        <f t="shared" si="38"/>
        <v>64.3</v>
      </c>
      <c r="C106" s="56">
        <f t="shared" si="39"/>
        <v>49341</v>
      </c>
      <c r="D106" s="57">
        <f ca="1">IF(AND(B105&lt;59.5,OR(B106&gt;59.5,B106=59.5)),(D105-E105+J105-K105)*(1+'Retirement Planning'!$J$23/12),(D105-E105)*(1+'Retirement Planning'!$J$23/12))</f>
        <v>280618.42406836187</v>
      </c>
      <c r="E106" s="58">
        <f t="shared" ca="1" si="26"/>
        <v>917.99304135744478</v>
      </c>
      <c r="F106" s="57">
        <f ca="1">IF(AND(OR(B106&gt;59.5,B106=59.5),B105&lt;59.5),(F105-G105+L105-M105+N105-O105)*(1+'Retirement Planning'!$J$23/12),(F105-G105)*(1+'Retirement Planning'!$J$23/12))</f>
        <v>1150832.7341389528</v>
      </c>
      <c r="G106" s="58">
        <f ca="1">IF(AND($B$10&lt;55,B106&lt;59.5),'Retirement Planning'!$J$25,IF(OR(B106&gt;59.5,B106=59.5),MAX(0,MIN(F106,IF(D106&lt;2500,((Y106+AJ106+AA106))-X106,((Y106+AJ106+AA106)*'Retirement Planning'!$J$44)-X106))),0))</f>
        <v>6033.7134844008715</v>
      </c>
      <c r="H106" s="255">
        <f ca="1">IF(MONTH(C106)=1,IF(B106&gt;69.5,F106/(INDEX('Retirement Planning'!D$1:D$264,(160+INT(B106))))/12,0),IF(F106=0,0,H105))</f>
        <v>0</v>
      </c>
      <c r="I106" s="262">
        <f t="shared" ca="1" si="27"/>
        <v>0</v>
      </c>
      <c r="J106" s="254">
        <f ca="1">IF(AND(B105&lt;59.5,OR(B106=59.5,B106&gt;59.5)),0,(J105-K105)*(1+'Retirement Planning'!$J$23/12))</f>
        <v>0</v>
      </c>
      <c r="K106" s="58">
        <f t="shared" ca="1" si="28"/>
        <v>0</v>
      </c>
      <c r="L106" s="57">
        <f>IF(AND(OR(B106&gt;59.5,B106=59.5),B105&lt;59.5),0,(L105-M105)*(1+'Retirement Planning'!$J$23/12))</f>
        <v>0</v>
      </c>
      <c r="M106" s="59">
        <f>IF(AND($B$10&lt;55,B106&lt;59.5),0,IF(B106&lt;59.5,MAX(0,MIN((($Y106+$AJ106+AA106)*'Retirement Planning'!$J$44)-$G106-$X106,L106)),0))</f>
        <v>0</v>
      </c>
      <c r="N106" s="57">
        <f ca="1">(N105-O105)*(1+'Retirement Planning'!$J$23/12)</f>
        <v>0</v>
      </c>
      <c r="O106" s="59">
        <f ca="1">IF(B106&gt;59.5,MAX(0,MIN((AA106+$Y106+$AJ106)*(IF(D106&lt;(MIN(E94:E105)+1),1,'Retirement Planning'!$J$44))-M106-$G106-$X106-(IF(D106&lt;(MIN(E94:E105)+1),D106,0)),N106)),0)</f>
        <v>0</v>
      </c>
      <c r="P106" s="57">
        <f t="shared" si="40"/>
        <v>0</v>
      </c>
      <c r="Q106" s="58">
        <f t="shared" si="41"/>
        <v>0</v>
      </c>
      <c r="R106" s="57">
        <f ca="1">(R105-S105-T105)*(1+'Retirement Planning'!$J$23/12)</f>
        <v>284808.7477827557</v>
      </c>
      <c r="S106" s="58">
        <f t="shared" ca="1" si="42"/>
        <v>358.33333333333337</v>
      </c>
      <c r="T106" s="273">
        <f t="shared" ca="1" si="29"/>
        <v>-4.5474735088646412E-13</v>
      </c>
      <c r="U106" s="57">
        <f ca="1">(U105-V105)*(1+'Retirement Planning'!$J$23/12)</f>
        <v>234148.82908686163</v>
      </c>
      <c r="V106" s="24">
        <f ca="1">IF(AND($B$10&lt;55,B106&lt;59.5),MIN(U106,MAX(0,(Y106+AA106+AJ106-G106)*'Retirement Planning'!$J$45)),IF(B106&lt;59.5,(MIN(U106,MAX(0,((Y106+AA106+AJ106)-G106-M106)*'Retirement Planning'!$J$45))),MIN(U106,MAX(0,(Y106+AA106+AJ106-G106-M106-K106-X106)*'Retirement Planning'!$J$45))))</f>
        <v>781.99407226745302</v>
      </c>
      <c r="W106" s="7">
        <f t="shared" ca="1" si="30"/>
        <v>1950408.7350769318</v>
      </c>
      <c r="X106" s="7">
        <f>(IF(B106&gt;'Retirement Planning'!$J$34,IF('Retirement Planning'!$J$34=70,'Retirement Planning'!$J$37/12,IF('Retirement Planning'!$J$34=67,'Retirement Planning'!$J$36/12,'Retirement Planning'!$J$35/12)),0))*'Retirement Planning'!$J$38</f>
        <v>1213.6000000000001</v>
      </c>
      <c r="Y106" s="7">
        <f ca="1">'Retirement Planning'!$F$35*((1+'Retirement Planning'!$J$24)^(YEAR('Projected Retirement Drawdown'!C106)-YEAR(TODAY())))</f>
        <v>6836.2512719141469</v>
      </c>
      <c r="Z106" s="7">
        <f ca="1">G106+M106+O106+0.85*X106+V106*'Retirement Planning'!$J$46+T106</f>
        <v>7495.3702241479714</v>
      </c>
      <c r="AA106" s="7">
        <f ca="1">IF(MONTH(C106)=1,(((MIN(MAX(0,((SUM(Z94:Z105)-'Retirement Planning'!$I$53-'Retirement Planning'!$I$54)-'Retirement Planning'!$J$51)*'Retirement Planning'!$I$52))))+(MIN(MAX(0,((SUM(Z94:Z105)-'Retirement Planning'!$I$53-'Retirement Planning'!$I$54)-'Retirement Planning'!$J$50)*'Retirement Planning'!$I$51),('Retirement Planning'!$J$51-'Retirement Planning'!$J$50)*'Retirement Planning'!$I$51))+(MIN(MAX(0,((SUM(Z94:Z105)-'Retirement Planning'!$I$53-'Retirement Planning'!$I$54)-'Retirement Planning'!$J$49)*'Retirement Planning'!$I$50),('Retirement Planning'!$J$50-'Retirement Planning'!$J$49)*'Retirement Planning'!$I$50)+MIN(MAX(0,((SUM(Z94:Z105)-'Retirement Planning'!$I$53-'Retirement Planning'!$I$54)-'Retirement Planning'!$J$48)*'Retirement Planning'!$I$49),('Retirement Planning'!$J$49-'Retirement Planning'!$J$48)*'Retirement Planning'!$I$49)+MIN(((SUM(Z94:Z105)-'Retirement Planning'!$I$53-'Retirement Planning'!$I$54))*'Retirement Planning'!$I$48,('Retirement Planning'!$J$48)*'Retirement Planning'!$I$48))+(IF((SUM(Z94:Z105)-'Retirement Planning'!$I$54-'Retirement Planning'!$I$61)&gt;'Retirement Planning'!$J$59,(SUM(Z94:Z105)-'Retirement Planning'!$I$54-'Retirement Planning'!$I$61-'Retirement Planning'!$J$59)*'Retirement Planning'!$I$60+'Retirement Planning'!$K$59,IF((SUM(Z94:Z105)-'Retirement Planning'!$I$54-'Retirement Planning'!$I$61)&gt;'Retirement Planning'!$J$58,(SUM(Z94:Z105)-'Retirement Planning'!$I$54-'Retirement Planning'!$I$61-'Retirement Planning'!$J$58)*'Retirement Planning'!$I$59+'Retirement Planning'!$K$58,IF((SUM(Z94:Z105)-'Retirement Planning'!$I$54-'Retirement Planning'!$I$61)&gt;'Retirement Planning'!$J$57,(SUM(Z94:Z105)-'Retirement Planning'!$I$54-'Retirement Planning'!$I$61-'Retirement Planning'!$J$57)*'Retirement Planning'!$I$58+'Retirement Planning'!$K$57,IF((SUM(Z94:Z105)-'Retirement Planning'!$I$54-'Retirement Planning'!$I$61)&gt;'Retirement Planning'!$J$56,(SUM(Z94:Z105)-'Retirement Planning'!$I$54-'Retirement Planning'!$I$61-'Retirement Planning'!$J$56)*'Retirement Planning'!$I$57+'Retirement Planning'!$K$56,(SUM(Z94:Z105)-'Retirement Planning'!$I$54-'Retirement Planning'!$I$61)*'Retirement Planning'!$I$56))))))/12,AA105)</f>
        <v>1469.715992778288</v>
      </c>
      <c r="AB106" s="104">
        <f t="shared" ref="AB106:AB169" ca="1" si="48">AB105</f>
        <v>0.20366044524596694</v>
      </c>
      <c r="AC106" s="7">
        <f>IF(B106&lt;65,'Retirement Planning'!$J$28,0)</f>
        <v>583</v>
      </c>
      <c r="AD106" s="7">
        <f>IF(B106&lt;65,'Retirement Planning'!$J$29/12,0)</f>
        <v>291.66666666666669</v>
      </c>
      <c r="AE106" s="22">
        <f>'Retirement Planning'!$J$31/12</f>
        <v>58.333333333333336</v>
      </c>
      <c r="AF106" s="22">
        <f>'Retirement Planning'!$J$32/12</f>
        <v>66.666666666666671</v>
      </c>
      <c r="AG106" s="7">
        <f>IF($B106&gt;64.9,'Retirement Planning'!$J$39/12,0)</f>
        <v>0</v>
      </c>
      <c r="AH106" s="7">
        <f>IF($B106&gt;64.9,'Retirement Planning'!$J$40/12,0)</f>
        <v>0</v>
      </c>
      <c r="AI106" s="7">
        <f>IF($B106&gt;64.9,'Retirement Planning'!$J$41/12,0)</f>
        <v>0</v>
      </c>
      <c r="AJ106" s="7">
        <f t="shared" ca="1" si="31"/>
        <v>641.33333333333337</v>
      </c>
      <c r="AK106" s="3" t="str">
        <f t="shared" ca="1" si="32"/>
        <v>N/A</v>
      </c>
      <c r="AL106" s="6" t="str">
        <f t="shared" ca="1" si="33"/>
        <v>N/A</v>
      </c>
      <c r="AM106" s="7">
        <f t="shared" ca="1" si="34"/>
        <v>-6.8212102632969618E-13</v>
      </c>
      <c r="AN106" s="7">
        <f t="shared" ca="1" si="35"/>
        <v>9305.6339313591016</v>
      </c>
      <c r="AO106" s="7">
        <f t="shared" si="36"/>
        <v>999.66666666666674</v>
      </c>
    </row>
    <row r="107" spans="1:41" x14ac:dyDescent="0.2">
      <c r="A107">
        <f t="shared" si="37"/>
        <v>50</v>
      </c>
      <c r="B107" s="5">
        <f t="shared" si="38"/>
        <v>64.400000000000006</v>
      </c>
      <c r="C107" s="56">
        <f t="shared" si="39"/>
        <v>49369</v>
      </c>
      <c r="D107" s="57">
        <f ca="1">IF(AND(B106&lt;59.5,OR(B107&gt;59.5,B107=59.5)),(D106-E106+J106-K106)*(1+'Retirement Planning'!$J$23/12),(D106-E106)*(1+'Retirement Planning'!$J$23/12))</f>
        <v>281681.64241344569</v>
      </c>
      <c r="E107" s="58">
        <f t="shared" ca="1" si="26"/>
        <v>917.99304135744478</v>
      </c>
      <c r="F107" s="57">
        <f ca="1">IF(AND(OR(B107&gt;59.5,B107=59.5),B106&lt;59.5),(F106-G106+L106-M106+N106-O106)*(1+'Retirement Planning'!$J$23/12),(F106-G106)*(1+'Retirement Planning'!$J$23/12))</f>
        <v>1152908.0137175217</v>
      </c>
      <c r="G107" s="58">
        <f ca="1">IF(AND($B$10&lt;55,B107&lt;59.5),'Retirement Planning'!$J$25,IF(OR(B107&gt;59.5,B107=59.5),MAX(0,MIN(F107,IF(D107&lt;2500,((Y107+AJ107+AA107))-X107,((Y107+AJ107+AA107)*'Retirement Planning'!$J$44)-X107))),0))</f>
        <v>6033.7134844008715</v>
      </c>
      <c r="H107" s="255">
        <f ca="1">IF(MONTH(C107)=1,IF(B107&gt;69.5,F107/(INDEX('Retirement Planning'!D$1:D$264,(160+INT(B107))))/12,0),IF(F107=0,0,H106))</f>
        <v>0</v>
      </c>
      <c r="I107" s="262">
        <f t="shared" ca="1" si="27"/>
        <v>0</v>
      </c>
      <c r="J107" s="254">
        <f ca="1">IF(AND(B106&lt;59.5,OR(B107=59.5,B107&gt;59.5)),0,(J106-K106)*(1+'Retirement Planning'!$J$23/12))</f>
        <v>0</v>
      </c>
      <c r="K107" s="58">
        <f t="shared" ca="1" si="28"/>
        <v>0</v>
      </c>
      <c r="L107" s="57">
        <f>IF(AND(OR(B107&gt;59.5,B107=59.5),B106&lt;59.5),0,(L106-M106)*(1+'Retirement Planning'!$J$23/12))</f>
        <v>0</v>
      </c>
      <c r="M107" s="59">
        <f>IF(AND($B$10&lt;55,B107&lt;59.5),0,IF(B107&lt;59.5,MAX(0,MIN((($Y107+$AJ107+AA107)*'Retirement Planning'!$J$44)-$G107-$X107,L107)),0))</f>
        <v>0</v>
      </c>
      <c r="N107" s="57">
        <f ca="1">(N106-O106)*(1+'Retirement Planning'!$J$23/12)</f>
        <v>0</v>
      </c>
      <c r="O107" s="59">
        <f ca="1">IF(B107&gt;59.5,MAX(0,MIN((AA107+$Y107+$AJ107)*(IF(D107&lt;(MIN(E95:E106)+1),1,'Retirement Planning'!$J$44))-M107-$G107-$X107-(IF(D107&lt;(MIN(E95:E106)+1),D107,0)),N107)),0)</f>
        <v>0</v>
      </c>
      <c r="P107" s="57">
        <f t="shared" si="40"/>
        <v>0</v>
      </c>
      <c r="Q107" s="58">
        <f t="shared" si="41"/>
        <v>0</v>
      </c>
      <c r="R107" s="57">
        <f ca="1">(R106-S106-T106)*(1+'Retirement Planning'!$J$23/12)</f>
        <v>286465.27155177249</v>
      </c>
      <c r="S107" s="58">
        <f t="shared" ca="1" si="42"/>
        <v>358.33333333333337</v>
      </c>
      <c r="T107" s="273">
        <f t="shared" ca="1" si="29"/>
        <v>-4.5474735088646412E-13</v>
      </c>
      <c r="U107" s="57">
        <f ca="1">(U106-V106)*(1+'Retirement Planning'!$J$23/12)</f>
        <v>235019.85009594754</v>
      </c>
      <c r="V107" s="24">
        <f ca="1">IF(AND($B$10&lt;55,B107&lt;59.5),MIN(U107,MAX(0,(Y107+AA107+AJ107-G107)*'Retirement Planning'!$J$45)),IF(B107&lt;59.5,(MIN(U107,MAX(0,((Y107+AA107+AJ107)-G107-M107)*'Retirement Planning'!$J$45))),MIN(U107,MAX(0,(Y107+AA107+AJ107-G107-M107-K107-X107)*'Retirement Planning'!$J$45))))</f>
        <v>781.99407226745302</v>
      </c>
      <c r="W107" s="7">
        <f t="shared" ca="1" si="30"/>
        <v>1956074.7777786874</v>
      </c>
      <c r="X107" s="7">
        <f>(IF(B107&gt;'Retirement Planning'!$J$34,IF('Retirement Planning'!$J$34=70,'Retirement Planning'!$J$37/12,IF('Retirement Planning'!$J$34=67,'Retirement Planning'!$J$36/12,'Retirement Planning'!$J$35/12)),0))*'Retirement Planning'!$J$38</f>
        <v>1213.6000000000001</v>
      </c>
      <c r="Y107" s="7">
        <f ca="1">'Retirement Planning'!$F$35*((1+'Retirement Planning'!$J$24)^(YEAR('Projected Retirement Drawdown'!C107)-YEAR(TODAY())))</f>
        <v>6836.2512719141469</v>
      </c>
      <c r="Z107" s="7">
        <f ca="1">G107+M107+O107+0.85*X107+V107*'Retirement Planning'!$J$46+T107</f>
        <v>7495.3702241479714</v>
      </c>
      <c r="AA107" s="7">
        <f ca="1">IF(MONTH(C107)=1,(((MIN(MAX(0,((SUM(Z95:Z106)-'Retirement Planning'!$I$53-'Retirement Planning'!$I$54)-'Retirement Planning'!$J$51)*'Retirement Planning'!$I$52))))+(MIN(MAX(0,((SUM(Z95:Z106)-'Retirement Planning'!$I$53-'Retirement Planning'!$I$54)-'Retirement Planning'!$J$50)*'Retirement Planning'!$I$51),('Retirement Planning'!$J$51-'Retirement Planning'!$J$50)*'Retirement Planning'!$I$51))+(MIN(MAX(0,((SUM(Z95:Z106)-'Retirement Planning'!$I$53-'Retirement Planning'!$I$54)-'Retirement Planning'!$J$49)*'Retirement Planning'!$I$50),('Retirement Planning'!$J$50-'Retirement Planning'!$J$49)*'Retirement Planning'!$I$50)+MIN(MAX(0,((SUM(Z95:Z106)-'Retirement Planning'!$I$53-'Retirement Planning'!$I$54)-'Retirement Planning'!$J$48)*'Retirement Planning'!$I$49),('Retirement Planning'!$J$49-'Retirement Planning'!$J$48)*'Retirement Planning'!$I$49)+MIN(((SUM(Z95:Z106)-'Retirement Planning'!$I$53-'Retirement Planning'!$I$54))*'Retirement Planning'!$I$48,('Retirement Planning'!$J$48)*'Retirement Planning'!$I$48))+(IF((SUM(Z95:Z106)-'Retirement Planning'!$I$54-'Retirement Planning'!$I$61)&gt;'Retirement Planning'!$J$59,(SUM(Z95:Z106)-'Retirement Planning'!$I$54-'Retirement Planning'!$I$61-'Retirement Planning'!$J$59)*'Retirement Planning'!$I$60+'Retirement Planning'!$K$59,IF((SUM(Z95:Z106)-'Retirement Planning'!$I$54-'Retirement Planning'!$I$61)&gt;'Retirement Planning'!$J$58,(SUM(Z95:Z106)-'Retirement Planning'!$I$54-'Retirement Planning'!$I$61-'Retirement Planning'!$J$58)*'Retirement Planning'!$I$59+'Retirement Planning'!$K$58,IF((SUM(Z95:Z106)-'Retirement Planning'!$I$54-'Retirement Planning'!$I$61)&gt;'Retirement Planning'!$J$57,(SUM(Z95:Z106)-'Retirement Planning'!$I$54-'Retirement Planning'!$I$61-'Retirement Planning'!$J$57)*'Retirement Planning'!$I$58+'Retirement Planning'!$K$57,IF((SUM(Z95:Z106)-'Retirement Planning'!$I$54-'Retirement Planning'!$I$61)&gt;'Retirement Planning'!$J$56,(SUM(Z95:Z106)-'Retirement Planning'!$I$54-'Retirement Planning'!$I$61-'Retirement Planning'!$J$56)*'Retirement Planning'!$I$57+'Retirement Planning'!$K$56,(SUM(Z95:Z106)-'Retirement Planning'!$I$54-'Retirement Planning'!$I$61)*'Retirement Planning'!$I$56))))))/12,AA106)</f>
        <v>1469.715992778288</v>
      </c>
      <c r="AB107" s="104">
        <f t="shared" ca="1" si="21"/>
        <v>0.20366044524596694</v>
      </c>
      <c r="AC107" s="7">
        <f>IF(B107&lt;65,'Retirement Planning'!$J$28,0)</f>
        <v>583</v>
      </c>
      <c r="AD107" s="7">
        <f>IF(B107&lt;65,'Retirement Planning'!$J$29/12,0)</f>
        <v>291.66666666666669</v>
      </c>
      <c r="AE107" s="22">
        <f>'Retirement Planning'!$J$31/12</f>
        <v>58.333333333333336</v>
      </c>
      <c r="AF107" s="22">
        <f>'Retirement Planning'!$J$32/12</f>
        <v>66.666666666666671</v>
      </c>
      <c r="AG107" s="7">
        <f>IF($B107&gt;64.9,'Retirement Planning'!$J$39/12,0)</f>
        <v>0</v>
      </c>
      <c r="AH107" s="7">
        <f>IF($B107&gt;64.9,'Retirement Planning'!$J$40/12,0)</f>
        <v>0</v>
      </c>
      <c r="AI107" s="7">
        <f>IF($B107&gt;64.9,'Retirement Planning'!$J$41/12,0)</f>
        <v>0</v>
      </c>
      <c r="AJ107" s="7">
        <f t="shared" ca="1" si="31"/>
        <v>641.33333333333337</v>
      </c>
      <c r="AK107" s="3" t="str">
        <f t="shared" ca="1" si="32"/>
        <v>N/A</v>
      </c>
      <c r="AL107" s="6" t="str">
        <f t="shared" ca="1" si="33"/>
        <v>N/A</v>
      </c>
      <c r="AM107" s="7">
        <f t="shared" ca="1" si="34"/>
        <v>-6.8212102632969618E-13</v>
      </c>
      <c r="AN107" s="7">
        <f t="shared" ca="1" si="35"/>
        <v>9305.6339313591016</v>
      </c>
      <c r="AO107" s="7">
        <f t="shared" si="36"/>
        <v>999.66666666666674</v>
      </c>
    </row>
    <row r="108" spans="1:41" x14ac:dyDescent="0.2">
      <c r="A108">
        <f t="shared" si="37"/>
        <v>50</v>
      </c>
      <c r="B108" s="5">
        <f t="shared" si="38"/>
        <v>64.5</v>
      </c>
      <c r="C108" s="56">
        <f t="shared" si="39"/>
        <v>49400</v>
      </c>
      <c r="D108" s="57">
        <f ca="1">IF(AND(B107&lt;59.5,OR(B108&gt;59.5,B108=59.5)),(D107-E107+J107-K107)*(1+'Retirement Planning'!$J$23/12),(D107-E107)*(1+'Retirement Planning'!$J$23/12))</f>
        <v>282752.39188847388</v>
      </c>
      <c r="E108" s="58">
        <f t="shared" ca="1" si="26"/>
        <v>917.99304135744478</v>
      </c>
      <c r="F108" s="57">
        <f ca="1">IF(AND(OR(B108&gt;59.5,B108=59.5),B107&lt;59.5),(F107-G107+L107-M107+N107-O107)*(1+'Retirement Planning'!$J$23/12),(F107-G107)*(1+'Retirement Planning'!$J$23/12))</f>
        <v>1154997.9931931053</v>
      </c>
      <c r="G108" s="58">
        <f ca="1">IF(AND($B$10&lt;55,B108&lt;59.5),'Retirement Planning'!$J$25,IF(OR(B108&gt;59.5,B108=59.5),MAX(0,MIN(F108,IF(D108&lt;2500,((Y108+AJ108+AA108))-X108,((Y108+AJ108+AA108)*'Retirement Planning'!$J$44)-X108))),0))</f>
        <v>6033.7134844008715</v>
      </c>
      <c r="H108" s="255">
        <f ca="1">IF(MONTH(C108)=1,IF(B108&gt;69.5,F108/(INDEX('Retirement Planning'!D$1:D$264,(160+INT(B108))))/12,0),IF(F108=0,0,H107))</f>
        <v>0</v>
      </c>
      <c r="I108" s="262">
        <f t="shared" ca="1" si="27"/>
        <v>0</v>
      </c>
      <c r="J108" s="254">
        <f ca="1">IF(AND(B107&lt;59.5,OR(B108=59.5,B108&gt;59.5)),0,(J107-K107)*(1+'Retirement Planning'!$J$23/12))</f>
        <v>0</v>
      </c>
      <c r="K108" s="58">
        <f t="shared" ca="1" si="28"/>
        <v>0</v>
      </c>
      <c r="L108" s="57">
        <f>IF(AND(OR(B108&gt;59.5,B108=59.5),B107&lt;59.5),0,(L107-M107)*(1+'Retirement Planning'!$J$23/12))</f>
        <v>0</v>
      </c>
      <c r="M108" s="59">
        <f>IF(AND($B$10&lt;55,B108&lt;59.5),0,IF(B108&lt;59.5,MAX(0,MIN((($Y108+$AJ108+AA108)*'Retirement Planning'!$J$44)-$G108-$X108,L108)),0))</f>
        <v>0</v>
      </c>
      <c r="N108" s="57">
        <f ca="1">(N107-O107)*(1+'Retirement Planning'!$J$23/12)</f>
        <v>0</v>
      </c>
      <c r="O108" s="59">
        <f ca="1">IF(B108&gt;59.5,MAX(0,MIN((AA108+$Y108+$AJ108)*(IF(D108&lt;(MIN(E96:E107)+1),1,'Retirement Planning'!$J$44))-M108-$G108-$X108-(IF(D108&lt;(MIN(E96:E107)+1),D108,0)),N108)),0)</f>
        <v>0</v>
      </c>
      <c r="P108" s="57">
        <f t="shared" si="40"/>
        <v>0</v>
      </c>
      <c r="Q108" s="58">
        <f t="shared" si="41"/>
        <v>0</v>
      </c>
      <c r="R108" s="57">
        <f ca="1">(R107-S107-T107)*(1+'Retirement Planning'!$J$23/12)</f>
        <v>288133.52903081977</v>
      </c>
      <c r="S108" s="58">
        <f t="shared" ca="1" si="42"/>
        <v>358.33333333333337</v>
      </c>
      <c r="T108" s="273">
        <f t="shared" ca="1" si="29"/>
        <v>-4.5474735088646412E-13</v>
      </c>
      <c r="U108" s="57">
        <f ca="1">(U107-V107)*(1+'Retirement Planning'!$J$23/12)</f>
        <v>235897.04083718115</v>
      </c>
      <c r="V108" s="24">
        <f ca="1">IF(AND($B$10&lt;55,B108&lt;59.5),MIN(U108,MAX(0,(Y108+AA108+AJ108-G108)*'Retirement Planning'!$J$45)),IF(B108&lt;59.5,(MIN(U108,MAX(0,((Y108+AA108+AJ108)-G108-M108)*'Retirement Planning'!$J$45))),MIN(U108,MAX(0,(Y108+AA108+AJ108-G108-M108-K108-X108)*'Retirement Planning'!$J$45))))</f>
        <v>781.99407226745302</v>
      </c>
      <c r="W108" s="7">
        <f t="shared" ca="1" si="30"/>
        <v>1961780.9549495801</v>
      </c>
      <c r="X108" s="7">
        <f>(IF(B108&gt;'Retirement Planning'!$J$34,IF('Retirement Planning'!$J$34=70,'Retirement Planning'!$J$37/12,IF('Retirement Planning'!$J$34=67,'Retirement Planning'!$J$36/12,'Retirement Planning'!$J$35/12)),0))*'Retirement Planning'!$J$38</f>
        <v>1213.6000000000001</v>
      </c>
      <c r="Y108" s="7">
        <f ca="1">'Retirement Planning'!$F$35*((1+'Retirement Planning'!$J$24)^(YEAR('Projected Retirement Drawdown'!C108)-YEAR(TODAY())))</f>
        <v>6836.2512719141469</v>
      </c>
      <c r="Z108" s="7">
        <f ca="1">G108+M108+O108+0.85*X108+V108*'Retirement Planning'!$J$46+T108</f>
        <v>7495.3702241479714</v>
      </c>
      <c r="AA108" s="7">
        <f ca="1">IF(MONTH(C108)=1,(((MIN(MAX(0,((SUM(Z96:Z107)-'Retirement Planning'!$I$53-'Retirement Planning'!$I$54)-'Retirement Planning'!$J$51)*'Retirement Planning'!$I$52))))+(MIN(MAX(0,((SUM(Z96:Z107)-'Retirement Planning'!$I$53-'Retirement Planning'!$I$54)-'Retirement Planning'!$J$50)*'Retirement Planning'!$I$51),('Retirement Planning'!$J$51-'Retirement Planning'!$J$50)*'Retirement Planning'!$I$51))+(MIN(MAX(0,((SUM(Z96:Z107)-'Retirement Planning'!$I$53-'Retirement Planning'!$I$54)-'Retirement Planning'!$J$49)*'Retirement Planning'!$I$50),('Retirement Planning'!$J$50-'Retirement Planning'!$J$49)*'Retirement Planning'!$I$50)+MIN(MAX(0,((SUM(Z96:Z107)-'Retirement Planning'!$I$53-'Retirement Planning'!$I$54)-'Retirement Planning'!$J$48)*'Retirement Planning'!$I$49),('Retirement Planning'!$J$49-'Retirement Planning'!$J$48)*'Retirement Planning'!$I$49)+MIN(((SUM(Z96:Z107)-'Retirement Planning'!$I$53-'Retirement Planning'!$I$54))*'Retirement Planning'!$I$48,('Retirement Planning'!$J$48)*'Retirement Planning'!$I$48))+(IF((SUM(Z96:Z107)-'Retirement Planning'!$I$54-'Retirement Planning'!$I$61)&gt;'Retirement Planning'!$J$59,(SUM(Z96:Z107)-'Retirement Planning'!$I$54-'Retirement Planning'!$I$61-'Retirement Planning'!$J$59)*'Retirement Planning'!$I$60+'Retirement Planning'!$K$59,IF((SUM(Z96:Z107)-'Retirement Planning'!$I$54-'Retirement Planning'!$I$61)&gt;'Retirement Planning'!$J$58,(SUM(Z96:Z107)-'Retirement Planning'!$I$54-'Retirement Planning'!$I$61-'Retirement Planning'!$J$58)*'Retirement Planning'!$I$59+'Retirement Planning'!$K$58,IF((SUM(Z96:Z107)-'Retirement Planning'!$I$54-'Retirement Planning'!$I$61)&gt;'Retirement Planning'!$J$57,(SUM(Z96:Z107)-'Retirement Planning'!$I$54-'Retirement Planning'!$I$61-'Retirement Planning'!$J$57)*'Retirement Planning'!$I$58+'Retirement Planning'!$K$57,IF((SUM(Z96:Z107)-'Retirement Planning'!$I$54-'Retirement Planning'!$I$61)&gt;'Retirement Planning'!$J$56,(SUM(Z96:Z107)-'Retirement Planning'!$I$54-'Retirement Planning'!$I$61-'Retirement Planning'!$J$56)*'Retirement Planning'!$I$57+'Retirement Planning'!$K$56,(SUM(Z96:Z107)-'Retirement Planning'!$I$54-'Retirement Planning'!$I$61)*'Retirement Planning'!$I$56))))))/12,AA107)</f>
        <v>1469.715992778288</v>
      </c>
      <c r="AB108" s="104">
        <f t="shared" ca="1" si="21"/>
        <v>0.20366044524596694</v>
      </c>
      <c r="AC108" s="7">
        <f>IF(B108&lt;65,'Retirement Planning'!$J$28,0)</f>
        <v>583</v>
      </c>
      <c r="AD108" s="7">
        <f>IF(B108&lt;65,'Retirement Planning'!$J$29/12,0)</f>
        <v>291.66666666666669</v>
      </c>
      <c r="AE108" s="22">
        <f>'Retirement Planning'!$J$31/12</f>
        <v>58.333333333333336</v>
      </c>
      <c r="AF108" s="22">
        <f>'Retirement Planning'!$J$32/12</f>
        <v>66.666666666666671</v>
      </c>
      <c r="AG108" s="7">
        <f>IF($B108&gt;64.9,'Retirement Planning'!$J$39/12,0)</f>
        <v>0</v>
      </c>
      <c r="AH108" s="7">
        <f>IF($B108&gt;64.9,'Retirement Planning'!$J$40/12,0)</f>
        <v>0</v>
      </c>
      <c r="AI108" s="7">
        <f>IF($B108&gt;64.9,'Retirement Planning'!$J$41/12,0)</f>
        <v>0</v>
      </c>
      <c r="AJ108" s="7">
        <f t="shared" ca="1" si="31"/>
        <v>641.33333333333337</v>
      </c>
      <c r="AK108" s="3" t="str">
        <f t="shared" ca="1" si="32"/>
        <v>N/A</v>
      </c>
      <c r="AL108" s="6" t="str">
        <f t="shared" ca="1" si="33"/>
        <v>N/A</v>
      </c>
      <c r="AM108" s="7">
        <f t="shared" ca="1" si="34"/>
        <v>-6.8212102632969618E-13</v>
      </c>
      <c r="AN108" s="7">
        <f t="shared" ca="1" si="35"/>
        <v>9305.6339313591016</v>
      </c>
      <c r="AO108" s="7">
        <f t="shared" si="36"/>
        <v>999.66666666666674</v>
      </c>
    </row>
    <row r="109" spans="1:41" x14ac:dyDescent="0.2">
      <c r="A109">
        <f t="shared" si="37"/>
        <v>50</v>
      </c>
      <c r="B109" s="5">
        <f t="shared" si="38"/>
        <v>64.5</v>
      </c>
      <c r="C109" s="56">
        <f t="shared" si="39"/>
        <v>49430</v>
      </c>
      <c r="D109" s="57">
        <f ca="1">IF(AND(B108&lt;59.5,OR(B109&gt;59.5,B109=59.5)),(D108-E108+J108-K108)*(1+'Retirement Planning'!$J$23/12),(D108-E108)*(1+'Retirement Planning'!$J$23/12))</f>
        <v>283830.72583895019</v>
      </c>
      <c r="E109" s="58">
        <f t="shared" ca="1" si="26"/>
        <v>917.99304135744478</v>
      </c>
      <c r="F109" s="57">
        <f ca="1">IF(AND(OR(B109&gt;59.5,B109=59.5),B108&lt;59.5),(F108-G108+L108-M108+N108-O108)*(1+'Retirement Planning'!$J$23/12),(F108-G108)*(1+'Retirement Planning'!$J$23/12))</f>
        <v>1157102.7766899744</v>
      </c>
      <c r="G109" s="58">
        <f ca="1">IF(AND($B$10&lt;55,B109&lt;59.5),'Retirement Planning'!$J$25,IF(OR(B109&gt;59.5,B109=59.5),MAX(0,MIN(F109,IF(D109&lt;2500,((Y109+AJ109+AA109))-X109,((Y109+AJ109+AA109)*'Retirement Planning'!$J$44)-X109))),0))</f>
        <v>6033.7134844008715</v>
      </c>
      <c r="H109" s="255">
        <f ca="1">IF(MONTH(C109)=1,IF(B109&gt;69.5,F109/(INDEX('Retirement Planning'!D$1:D$264,(160+INT(B109))))/12,0),IF(F109=0,0,H108))</f>
        <v>0</v>
      </c>
      <c r="I109" s="262">
        <f t="shared" ca="1" si="27"/>
        <v>0</v>
      </c>
      <c r="J109" s="254">
        <f ca="1">IF(AND(B108&lt;59.5,OR(B109=59.5,B109&gt;59.5)),0,(J108-K108)*(1+'Retirement Planning'!$J$23/12))</f>
        <v>0</v>
      </c>
      <c r="K109" s="58">
        <f t="shared" ca="1" si="28"/>
        <v>0</v>
      </c>
      <c r="L109" s="57">
        <f>IF(AND(OR(B109&gt;59.5,B109=59.5),B108&lt;59.5),0,(L108-M108)*(1+'Retirement Planning'!$J$23/12))</f>
        <v>0</v>
      </c>
      <c r="M109" s="59">
        <f>IF(AND($B$10&lt;55,B109&lt;59.5),0,IF(B109&lt;59.5,MAX(0,MIN((($Y109+$AJ109+AA109)*'Retirement Planning'!$J$44)-$G109-$X109,L109)),0))</f>
        <v>0</v>
      </c>
      <c r="N109" s="57">
        <f ca="1">(N108-O108)*(1+'Retirement Planning'!$J$23/12)</f>
        <v>0</v>
      </c>
      <c r="O109" s="59">
        <f ca="1">IF(B109&gt;59.5,MAX(0,MIN((AA109+$Y109+$AJ109)*(IF(D109&lt;(MIN(E97:E108)+1),1,'Retirement Planning'!$J$44))-M109-$G109-$X109-(IF(D109&lt;(MIN(E97:E108)+1),D109,0)),N109)),0)</f>
        <v>0</v>
      </c>
      <c r="P109" s="57">
        <f t="shared" si="40"/>
        <v>0</v>
      </c>
      <c r="Q109" s="58">
        <f t="shared" si="41"/>
        <v>0</v>
      </c>
      <c r="R109" s="57">
        <f ca="1">(R108-S108-T108)*(1+'Retirement Planning'!$J$23/12)</f>
        <v>289813.60333367699</v>
      </c>
      <c r="S109" s="58">
        <f t="shared" ca="1" si="42"/>
        <v>358.33333333333337</v>
      </c>
      <c r="T109" s="273">
        <f t="shared" ca="1" si="29"/>
        <v>-4.5474735088646412E-13</v>
      </c>
      <c r="U109" s="57">
        <f ca="1">(U108-V108)*(1+'Retirement Planning'!$J$23/12)</f>
        <v>236780.44501283183</v>
      </c>
      <c r="V109" s="24">
        <f ca="1">IF(AND($B$10&lt;55,B109&lt;59.5),MIN(U109,MAX(0,(Y109+AA109+AJ109-G109)*'Retirement Planning'!$J$45)),IF(B109&lt;59.5,(MIN(U109,MAX(0,((Y109+AA109+AJ109)-G109-M109)*'Retirement Planning'!$J$45))),MIN(U109,MAX(0,(Y109+AA109+AJ109-G109-M109-K109-X109)*'Retirement Planning'!$J$45))))</f>
        <v>781.99407226745302</v>
      </c>
      <c r="W109" s="7">
        <f t="shared" ca="1" si="30"/>
        <v>1967527.5508754333</v>
      </c>
      <c r="X109" s="7">
        <f>(IF(B109&gt;'Retirement Planning'!$J$34,IF('Retirement Planning'!$J$34=70,'Retirement Planning'!$J$37/12,IF('Retirement Planning'!$J$34=67,'Retirement Planning'!$J$36/12,'Retirement Planning'!$J$35/12)),0))*'Retirement Planning'!$J$38</f>
        <v>1213.6000000000001</v>
      </c>
      <c r="Y109" s="7">
        <f ca="1">'Retirement Planning'!$F$35*((1+'Retirement Planning'!$J$24)^(YEAR('Projected Retirement Drawdown'!C109)-YEAR(TODAY())))</f>
        <v>6836.2512719141469</v>
      </c>
      <c r="Z109" s="7">
        <f ca="1">G109+M109+O109+0.85*X109+V109*'Retirement Planning'!$J$46+T109</f>
        <v>7495.3702241479714</v>
      </c>
      <c r="AA109" s="7">
        <f ca="1">IF(MONTH(C109)=1,(((MIN(MAX(0,((SUM(Z97:Z108)-'Retirement Planning'!$I$53-'Retirement Planning'!$I$54)-'Retirement Planning'!$J$51)*'Retirement Planning'!$I$52))))+(MIN(MAX(0,((SUM(Z97:Z108)-'Retirement Planning'!$I$53-'Retirement Planning'!$I$54)-'Retirement Planning'!$J$50)*'Retirement Planning'!$I$51),('Retirement Planning'!$J$51-'Retirement Planning'!$J$50)*'Retirement Planning'!$I$51))+(MIN(MAX(0,((SUM(Z97:Z108)-'Retirement Planning'!$I$53-'Retirement Planning'!$I$54)-'Retirement Planning'!$J$49)*'Retirement Planning'!$I$50),('Retirement Planning'!$J$50-'Retirement Planning'!$J$49)*'Retirement Planning'!$I$50)+MIN(MAX(0,((SUM(Z97:Z108)-'Retirement Planning'!$I$53-'Retirement Planning'!$I$54)-'Retirement Planning'!$J$48)*'Retirement Planning'!$I$49),('Retirement Planning'!$J$49-'Retirement Planning'!$J$48)*'Retirement Planning'!$I$49)+MIN(((SUM(Z97:Z108)-'Retirement Planning'!$I$53-'Retirement Planning'!$I$54))*'Retirement Planning'!$I$48,('Retirement Planning'!$J$48)*'Retirement Planning'!$I$48))+(IF((SUM(Z97:Z108)-'Retirement Planning'!$I$54-'Retirement Planning'!$I$61)&gt;'Retirement Planning'!$J$59,(SUM(Z97:Z108)-'Retirement Planning'!$I$54-'Retirement Planning'!$I$61-'Retirement Planning'!$J$59)*'Retirement Planning'!$I$60+'Retirement Planning'!$K$59,IF((SUM(Z97:Z108)-'Retirement Planning'!$I$54-'Retirement Planning'!$I$61)&gt;'Retirement Planning'!$J$58,(SUM(Z97:Z108)-'Retirement Planning'!$I$54-'Retirement Planning'!$I$61-'Retirement Planning'!$J$58)*'Retirement Planning'!$I$59+'Retirement Planning'!$K$58,IF((SUM(Z97:Z108)-'Retirement Planning'!$I$54-'Retirement Planning'!$I$61)&gt;'Retirement Planning'!$J$57,(SUM(Z97:Z108)-'Retirement Planning'!$I$54-'Retirement Planning'!$I$61-'Retirement Planning'!$J$57)*'Retirement Planning'!$I$58+'Retirement Planning'!$K$57,IF((SUM(Z97:Z108)-'Retirement Planning'!$I$54-'Retirement Planning'!$I$61)&gt;'Retirement Planning'!$J$56,(SUM(Z97:Z108)-'Retirement Planning'!$I$54-'Retirement Planning'!$I$61-'Retirement Planning'!$J$56)*'Retirement Planning'!$I$57+'Retirement Planning'!$K$56,(SUM(Z97:Z108)-'Retirement Planning'!$I$54-'Retirement Planning'!$I$61)*'Retirement Planning'!$I$56))))))/12,AA108)</f>
        <v>1469.715992778288</v>
      </c>
      <c r="AB109" s="104">
        <f t="shared" ca="1" si="21"/>
        <v>0.20366044524596694</v>
      </c>
      <c r="AC109" s="7">
        <f>IF(B109&lt;65,'Retirement Planning'!$J$28,0)</f>
        <v>583</v>
      </c>
      <c r="AD109" s="7">
        <f>IF(B109&lt;65,'Retirement Planning'!$J$29/12,0)</f>
        <v>291.66666666666669</v>
      </c>
      <c r="AE109" s="22">
        <f>'Retirement Planning'!$J$31/12</f>
        <v>58.333333333333336</v>
      </c>
      <c r="AF109" s="22">
        <f>'Retirement Planning'!$J$32/12</f>
        <v>66.666666666666671</v>
      </c>
      <c r="AG109" s="7">
        <f>IF($B109&gt;64.9,'Retirement Planning'!$J$39/12,0)</f>
        <v>0</v>
      </c>
      <c r="AH109" s="7">
        <f>IF($B109&gt;64.9,'Retirement Planning'!$J$40/12,0)</f>
        <v>0</v>
      </c>
      <c r="AI109" s="7">
        <f>IF($B109&gt;64.9,'Retirement Planning'!$J$41/12,0)</f>
        <v>0</v>
      </c>
      <c r="AJ109" s="7">
        <f t="shared" ca="1" si="31"/>
        <v>641.33333333333337</v>
      </c>
      <c r="AK109" s="3" t="str">
        <f t="shared" ca="1" si="32"/>
        <v>N/A</v>
      </c>
      <c r="AL109" s="6" t="str">
        <f t="shared" ca="1" si="33"/>
        <v>N/A</v>
      </c>
      <c r="AM109" s="7">
        <f t="shared" ca="1" si="34"/>
        <v>-6.8212102632969618E-13</v>
      </c>
      <c r="AN109" s="7">
        <f t="shared" ca="1" si="35"/>
        <v>9305.6339313591016</v>
      </c>
      <c r="AO109" s="7">
        <f t="shared" si="36"/>
        <v>999.66666666666674</v>
      </c>
    </row>
    <row r="110" spans="1:41" x14ac:dyDescent="0.2">
      <c r="A110">
        <f t="shared" si="37"/>
        <v>50</v>
      </c>
      <c r="B110" s="5">
        <f t="shared" si="38"/>
        <v>64.599999999999994</v>
      </c>
      <c r="C110" s="56">
        <f t="shared" si="39"/>
        <v>49461</v>
      </c>
      <c r="D110" s="57">
        <f ca="1">IF(AND(B109&lt;59.5,OR(B110&gt;59.5,B110=59.5)),(D109-E109+J109-K109)*(1+'Retirement Planning'!$J$23/12),(D109-E109)*(1+'Retirement Planning'!$J$23/12))</f>
        <v>284916.69798824238</v>
      </c>
      <c r="E110" s="58">
        <f t="shared" ca="1" si="26"/>
        <v>917.99304135744478</v>
      </c>
      <c r="F110" s="57">
        <f ca="1">IF(AND(OR(B110&gt;59.5,B110=59.5),B109&lt;59.5),(F109-G109+L109-M109+N109-O109)*(1+'Retirement Planning'!$J$23/12),(F109-G109)*(1+'Retirement Planning'!$J$23/12))</f>
        <v>1159222.4690699463</v>
      </c>
      <c r="G110" s="58">
        <f ca="1">IF(AND($B$10&lt;55,B110&lt;59.5),'Retirement Planning'!$J$25,IF(OR(B110&gt;59.5,B110=59.5),MAX(0,MIN(F110,IF(D110&lt;2500,((Y110+AJ110+AA110))-X110,((Y110+AJ110+AA110)*'Retirement Planning'!$J$44)-X110))),0))</f>
        <v>6033.7134844008715</v>
      </c>
      <c r="H110" s="255">
        <f ca="1">IF(MONTH(C110)=1,IF(B110&gt;69.5,F110/(INDEX('Retirement Planning'!D$1:D$264,(160+INT(B110))))/12,0),IF(F110=0,0,H109))</f>
        <v>0</v>
      </c>
      <c r="I110" s="262">
        <f t="shared" ca="1" si="27"/>
        <v>0</v>
      </c>
      <c r="J110" s="254">
        <f ca="1">IF(AND(B109&lt;59.5,OR(B110=59.5,B110&gt;59.5)),0,(J109-K109)*(1+'Retirement Planning'!$J$23/12))</f>
        <v>0</v>
      </c>
      <c r="K110" s="58">
        <f t="shared" ca="1" si="28"/>
        <v>0</v>
      </c>
      <c r="L110" s="57">
        <f>IF(AND(OR(B110&gt;59.5,B110=59.5),B109&lt;59.5),0,(L109-M109)*(1+'Retirement Planning'!$J$23/12))</f>
        <v>0</v>
      </c>
      <c r="M110" s="59">
        <f>IF(AND($B$10&lt;55,B110&lt;59.5),0,IF(B110&lt;59.5,MAX(0,MIN((($Y110+$AJ110+AA110)*'Retirement Planning'!$J$44)-$G110-$X110,L110)),0))</f>
        <v>0</v>
      </c>
      <c r="N110" s="57">
        <f ca="1">(N109-O109)*(1+'Retirement Planning'!$J$23/12)</f>
        <v>0</v>
      </c>
      <c r="O110" s="59">
        <f ca="1">IF(B110&gt;59.5,MAX(0,MIN((AA110+$Y110+$AJ110)*(IF(D110&lt;(MIN(E98:E109)+1),1,'Retirement Planning'!$J$44))-M110-$G110-$X110-(IF(D110&lt;(MIN(E98:E109)+1),D110,0)),N110)),0)</f>
        <v>0</v>
      </c>
      <c r="P110" s="57">
        <f t="shared" si="40"/>
        <v>0</v>
      </c>
      <c r="Q110" s="58">
        <f t="shared" si="41"/>
        <v>0</v>
      </c>
      <c r="R110" s="57">
        <f ca="1">(R109-S109-T109)*(1+'Retirement Planning'!$J$23/12)</f>
        <v>291505.5781628461</v>
      </c>
      <c r="S110" s="58">
        <f t="shared" ca="1" si="42"/>
        <v>358.33333333333337</v>
      </c>
      <c r="T110" s="273">
        <f t="shared" ca="1" si="29"/>
        <v>-4.5474735088646412E-13</v>
      </c>
      <c r="U110" s="57">
        <f ca="1">(U109-V109)*(1+'Retirement Planning'!$J$23/12)</f>
        <v>237670.10663472669</v>
      </c>
      <c r="V110" s="24">
        <f ca="1">IF(AND($B$10&lt;55,B110&lt;59.5),MIN(U110,MAX(0,(Y110+AA110+AJ110-G110)*'Retirement Planning'!$J$45)),IF(B110&lt;59.5,(MIN(U110,MAX(0,((Y110+AA110+AJ110)-G110-M110)*'Retirement Planning'!$J$45))),MIN(U110,MAX(0,(Y110+AA110+AJ110-G110-M110-K110-X110)*'Retirement Planning'!$J$45))))</f>
        <v>781.99407226745302</v>
      </c>
      <c r="W110" s="7">
        <f t="shared" ca="1" si="30"/>
        <v>1973314.8518557616</v>
      </c>
      <c r="X110" s="7">
        <f>(IF(B110&gt;'Retirement Planning'!$J$34,IF('Retirement Planning'!$J$34=70,'Retirement Planning'!$J$37/12,IF('Retirement Planning'!$J$34=67,'Retirement Planning'!$J$36/12,'Retirement Planning'!$J$35/12)),0))*'Retirement Planning'!$J$38</f>
        <v>1213.6000000000001</v>
      </c>
      <c r="Y110" s="7">
        <f ca="1">'Retirement Planning'!$F$35*((1+'Retirement Planning'!$J$24)^(YEAR('Projected Retirement Drawdown'!C110)-YEAR(TODAY())))</f>
        <v>6836.2512719141469</v>
      </c>
      <c r="Z110" s="7">
        <f ca="1">G110+M110+O110+0.85*X110+V110*'Retirement Planning'!$J$46+T110</f>
        <v>7495.3702241479714</v>
      </c>
      <c r="AA110" s="7">
        <f ca="1">IF(MONTH(C110)=1,(((MIN(MAX(0,((SUM(Z98:Z109)-'Retirement Planning'!$I$53-'Retirement Planning'!$I$54)-'Retirement Planning'!$J$51)*'Retirement Planning'!$I$52))))+(MIN(MAX(0,((SUM(Z98:Z109)-'Retirement Planning'!$I$53-'Retirement Planning'!$I$54)-'Retirement Planning'!$J$50)*'Retirement Planning'!$I$51),('Retirement Planning'!$J$51-'Retirement Planning'!$J$50)*'Retirement Planning'!$I$51))+(MIN(MAX(0,((SUM(Z98:Z109)-'Retirement Planning'!$I$53-'Retirement Planning'!$I$54)-'Retirement Planning'!$J$49)*'Retirement Planning'!$I$50),('Retirement Planning'!$J$50-'Retirement Planning'!$J$49)*'Retirement Planning'!$I$50)+MIN(MAX(0,((SUM(Z98:Z109)-'Retirement Planning'!$I$53-'Retirement Planning'!$I$54)-'Retirement Planning'!$J$48)*'Retirement Planning'!$I$49),('Retirement Planning'!$J$49-'Retirement Planning'!$J$48)*'Retirement Planning'!$I$49)+MIN(((SUM(Z98:Z109)-'Retirement Planning'!$I$53-'Retirement Planning'!$I$54))*'Retirement Planning'!$I$48,('Retirement Planning'!$J$48)*'Retirement Planning'!$I$48))+(IF((SUM(Z98:Z109)-'Retirement Planning'!$I$54-'Retirement Planning'!$I$61)&gt;'Retirement Planning'!$J$59,(SUM(Z98:Z109)-'Retirement Planning'!$I$54-'Retirement Planning'!$I$61-'Retirement Planning'!$J$59)*'Retirement Planning'!$I$60+'Retirement Planning'!$K$59,IF((SUM(Z98:Z109)-'Retirement Planning'!$I$54-'Retirement Planning'!$I$61)&gt;'Retirement Planning'!$J$58,(SUM(Z98:Z109)-'Retirement Planning'!$I$54-'Retirement Planning'!$I$61-'Retirement Planning'!$J$58)*'Retirement Planning'!$I$59+'Retirement Planning'!$K$58,IF((SUM(Z98:Z109)-'Retirement Planning'!$I$54-'Retirement Planning'!$I$61)&gt;'Retirement Planning'!$J$57,(SUM(Z98:Z109)-'Retirement Planning'!$I$54-'Retirement Planning'!$I$61-'Retirement Planning'!$J$57)*'Retirement Planning'!$I$58+'Retirement Planning'!$K$57,IF((SUM(Z98:Z109)-'Retirement Planning'!$I$54-'Retirement Planning'!$I$61)&gt;'Retirement Planning'!$J$56,(SUM(Z98:Z109)-'Retirement Planning'!$I$54-'Retirement Planning'!$I$61-'Retirement Planning'!$J$56)*'Retirement Planning'!$I$57+'Retirement Planning'!$K$56,(SUM(Z98:Z109)-'Retirement Planning'!$I$54-'Retirement Planning'!$I$61)*'Retirement Planning'!$I$56))))))/12,AA109)</f>
        <v>1469.715992778288</v>
      </c>
      <c r="AB110" s="104">
        <f t="shared" ref="AB110:AB173" ca="1" si="49">AB109</f>
        <v>0.20366044524596694</v>
      </c>
      <c r="AC110" s="7">
        <f>IF(B110&lt;65,'Retirement Planning'!$J$28,0)</f>
        <v>583</v>
      </c>
      <c r="AD110" s="7">
        <f>IF(B110&lt;65,'Retirement Planning'!$J$29/12,0)</f>
        <v>291.66666666666669</v>
      </c>
      <c r="AE110" s="22">
        <f>'Retirement Planning'!$J$31/12</f>
        <v>58.333333333333336</v>
      </c>
      <c r="AF110" s="22">
        <f>'Retirement Planning'!$J$32/12</f>
        <v>66.666666666666671</v>
      </c>
      <c r="AG110" s="7">
        <f>IF($B110&gt;64.9,'Retirement Planning'!$J$39/12,0)</f>
        <v>0</v>
      </c>
      <c r="AH110" s="7">
        <f>IF($B110&gt;64.9,'Retirement Planning'!$J$40/12,0)</f>
        <v>0</v>
      </c>
      <c r="AI110" s="7">
        <f>IF($B110&gt;64.9,'Retirement Planning'!$J$41/12,0)</f>
        <v>0</v>
      </c>
      <c r="AJ110" s="7">
        <f t="shared" ca="1" si="31"/>
        <v>641.33333333333337</v>
      </c>
      <c r="AK110" s="3" t="str">
        <f t="shared" ca="1" si="32"/>
        <v>N/A</v>
      </c>
      <c r="AL110" s="6" t="str">
        <f t="shared" ca="1" si="33"/>
        <v>N/A</v>
      </c>
      <c r="AM110" s="7">
        <f t="shared" ca="1" si="34"/>
        <v>-6.8212102632969618E-13</v>
      </c>
      <c r="AN110" s="7">
        <f t="shared" ca="1" si="35"/>
        <v>9305.6339313591016</v>
      </c>
      <c r="AO110" s="7">
        <f t="shared" si="36"/>
        <v>999.66666666666674</v>
      </c>
    </row>
    <row r="111" spans="1:41" x14ac:dyDescent="0.2">
      <c r="A111">
        <f t="shared" si="37"/>
        <v>50</v>
      </c>
      <c r="B111" s="5">
        <f t="shared" si="38"/>
        <v>64.7</v>
      </c>
      <c r="C111" s="56">
        <f t="shared" si="39"/>
        <v>49491</v>
      </c>
      <c r="D111" s="57">
        <f ca="1">IF(AND(B110&lt;59.5,OR(B111&gt;59.5,B111=59.5)),(D110-E110+J110-K110)*(1+'Retirement Planning'!$J$23/12),(D110-E110)*(1+'Retirement Planning'!$J$23/12))</f>
        <v>286010.36244025873</v>
      </c>
      <c r="E111" s="58">
        <f t="shared" ca="1" si="26"/>
        <v>917.99304135744478</v>
      </c>
      <c r="F111" s="57">
        <f ca="1">IF(AND(OR(B111&gt;59.5,B111=59.5),B110&lt;59.5),(F110-G110+L110-M110+N110-O110)*(1+'Retirement Planning'!$J$23/12),(F110-G110)*(1+'Retirement Planning'!$J$23/12))</f>
        <v>1161357.1759376097</v>
      </c>
      <c r="G111" s="58">
        <f ca="1">IF(AND($B$10&lt;55,B111&lt;59.5),'Retirement Planning'!$J$25,IF(OR(B111&gt;59.5,B111=59.5),MAX(0,MIN(F111,IF(D111&lt;2500,((Y111+AJ111+AA111))-X111,((Y111+AJ111+AA111)*'Retirement Planning'!$J$44)-X111))),0))</f>
        <v>6033.7134844008715</v>
      </c>
      <c r="H111" s="255">
        <f ca="1">IF(MONTH(C111)=1,IF(B111&gt;69.5,F111/(INDEX('Retirement Planning'!D$1:D$264,(160+INT(B111))))/12,0),IF(F111=0,0,H110))</f>
        <v>0</v>
      </c>
      <c r="I111" s="262">
        <f t="shared" ca="1" si="27"/>
        <v>0</v>
      </c>
      <c r="J111" s="254">
        <f ca="1">IF(AND(B110&lt;59.5,OR(B111=59.5,B111&gt;59.5)),0,(J110-K110)*(1+'Retirement Planning'!$J$23/12))</f>
        <v>0</v>
      </c>
      <c r="K111" s="58">
        <f t="shared" ca="1" si="28"/>
        <v>0</v>
      </c>
      <c r="L111" s="57">
        <f>IF(AND(OR(B111&gt;59.5,B111=59.5),B110&lt;59.5),0,(L110-M110)*(1+'Retirement Planning'!$J$23/12))</f>
        <v>0</v>
      </c>
      <c r="M111" s="59">
        <f>IF(AND($B$10&lt;55,B111&lt;59.5),0,IF(B111&lt;59.5,MAX(0,MIN((($Y111+$AJ111+AA111)*'Retirement Planning'!$J$44)-$G111-$X111,L111)),0))</f>
        <v>0</v>
      </c>
      <c r="N111" s="57">
        <f ca="1">(N110-O110)*(1+'Retirement Planning'!$J$23/12)</f>
        <v>0</v>
      </c>
      <c r="O111" s="59">
        <f ca="1">IF(B111&gt;59.5,MAX(0,MIN((AA111+$Y111+$AJ111)*(IF(D111&lt;(MIN(E99:E110)+1),1,'Retirement Planning'!$J$44))-M111-$G111-$X111-(IF(D111&lt;(MIN(E99:E110)+1),D111,0)),N111)),0)</f>
        <v>0</v>
      </c>
      <c r="P111" s="57">
        <f t="shared" si="40"/>
        <v>0</v>
      </c>
      <c r="Q111" s="58">
        <f t="shared" si="41"/>
        <v>0</v>
      </c>
      <c r="R111" s="57">
        <f ca="1">(R110-S110-T110)*(1+'Retirement Planning'!$J$23/12)</f>
        <v>293209.53781372181</v>
      </c>
      <c r="S111" s="58">
        <f t="shared" ca="1" si="42"/>
        <v>358.33333333333337</v>
      </c>
      <c r="T111" s="273">
        <f t="shared" ca="1" si="29"/>
        <v>-4.5474735088646412E-13</v>
      </c>
      <c r="U111" s="57">
        <f ca="1">(U110-V110)*(1+'Retirement Planning'!$J$23/12)</f>
        <v>238566.07002644331</v>
      </c>
      <c r="V111" s="24">
        <f ca="1">IF(AND($B$10&lt;55,B111&lt;59.5),MIN(U111,MAX(0,(Y111+AA111+AJ111-G111)*'Retirement Planning'!$J$45)),IF(B111&lt;59.5,(MIN(U111,MAX(0,((Y111+AA111+AJ111)-G111-M111)*'Retirement Planning'!$J$45))),MIN(U111,MAX(0,(Y111+AA111+AJ111-G111-M111-K111-X111)*'Retirement Planning'!$J$45))))</f>
        <v>781.99407226745302</v>
      </c>
      <c r="W111" s="7">
        <f t="shared" ca="1" si="30"/>
        <v>1979143.1462180335</v>
      </c>
      <c r="X111" s="7">
        <f>(IF(B111&gt;'Retirement Planning'!$J$34,IF('Retirement Planning'!$J$34=70,'Retirement Planning'!$J$37/12,IF('Retirement Planning'!$J$34=67,'Retirement Planning'!$J$36/12,'Retirement Planning'!$J$35/12)),0))*'Retirement Planning'!$J$38</f>
        <v>1213.6000000000001</v>
      </c>
      <c r="Y111" s="7">
        <f ca="1">'Retirement Planning'!$F$35*((1+'Retirement Planning'!$J$24)^(YEAR('Projected Retirement Drawdown'!C111)-YEAR(TODAY())))</f>
        <v>6836.2512719141469</v>
      </c>
      <c r="Z111" s="7">
        <f ca="1">G111+M111+O111+0.85*X111+V111*'Retirement Planning'!$J$46+T111</f>
        <v>7495.3702241479714</v>
      </c>
      <c r="AA111" s="7">
        <f ca="1">IF(MONTH(C111)=1,(((MIN(MAX(0,((SUM(Z99:Z110)-'Retirement Planning'!$I$53-'Retirement Planning'!$I$54)-'Retirement Planning'!$J$51)*'Retirement Planning'!$I$52))))+(MIN(MAX(0,((SUM(Z99:Z110)-'Retirement Planning'!$I$53-'Retirement Planning'!$I$54)-'Retirement Planning'!$J$50)*'Retirement Planning'!$I$51),('Retirement Planning'!$J$51-'Retirement Planning'!$J$50)*'Retirement Planning'!$I$51))+(MIN(MAX(0,((SUM(Z99:Z110)-'Retirement Planning'!$I$53-'Retirement Planning'!$I$54)-'Retirement Planning'!$J$49)*'Retirement Planning'!$I$50),('Retirement Planning'!$J$50-'Retirement Planning'!$J$49)*'Retirement Planning'!$I$50)+MIN(MAX(0,((SUM(Z99:Z110)-'Retirement Planning'!$I$53-'Retirement Planning'!$I$54)-'Retirement Planning'!$J$48)*'Retirement Planning'!$I$49),('Retirement Planning'!$J$49-'Retirement Planning'!$J$48)*'Retirement Planning'!$I$49)+MIN(((SUM(Z99:Z110)-'Retirement Planning'!$I$53-'Retirement Planning'!$I$54))*'Retirement Planning'!$I$48,('Retirement Planning'!$J$48)*'Retirement Planning'!$I$48))+(IF((SUM(Z99:Z110)-'Retirement Planning'!$I$54-'Retirement Planning'!$I$61)&gt;'Retirement Planning'!$J$59,(SUM(Z99:Z110)-'Retirement Planning'!$I$54-'Retirement Planning'!$I$61-'Retirement Planning'!$J$59)*'Retirement Planning'!$I$60+'Retirement Planning'!$K$59,IF((SUM(Z99:Z110)-'Retirement Planning'!$I$54-'Retirement Planning'!$I$61)&gt;'Retirement Planning'!$J$58,(SUM(Z99:Z110)-'Retirement Planning'!$I$54-'Retirement Planning'!$I$61-'Retirement Planning'!$J$58)*'Retirement Planning'!$I$59+'Retirement Planning'!$K$58,IF((SUM(Z99:Z110)-'Retirement Planning'!$I$54-'Retirement Planning'!$I$61)&gt;'Retirement Planning'!$J$57,(SUM(Z99:Z110)-'Retirement Planning'!$I$54-'Retirement Planning'!$I$61-'Retirement Planning'!$J$57)*'Retirement Planning'!$I$58+'Retirement Planning'!$K$57,IF((SUM(Z99:Z110)-'Retirement Planning'!$I$54-'Retirement Planning'!$I$61)&gt;'Retirement Planning'!$J$56,(SUM(Z99:Z110)-'Retirement Planning'!$I$54-'Retirement Planning'!$I$61-'Retirement Planning'!$J$56)*'Retirement Planning'!$I$57+'Retirement Planning'!$K$56,(SUM(Z99:Z110)-'Retirement Planning'!$I$54-'Retirement Planning'!$I$61)*'Retirement Planning'!$I$56))))))/12,AA110)</f>
        <v>1469.715992778288</v>
      </c>
      <c r="AB111" s="104">
        <f t="shared" ca="1" si="49"/>
        <v>0.20366044524596694</v>
      </c>
      <c r="AC111" s="7">
        <f>IF(B111&lt;65,'Retirement Planning'!$J$28,0)</f>
        <v>583</v>
      </c>
      <c r="AD111" s="7">
        <f>IF(B111&lt;65,'Retirement Planning'!$J$29/12,0)</f>
        <v>291.66666666666669</v>
      </c>
      <c r="AE111" s="22">
        <f>'Retirement Planning'!$J$31/12</f>
        <v>58.333333333333336</v>
      </c>
      <c r="AF111" s="22">
        <f>'Retirement Planning'!$J$32/12</f>
        <v>66.666666666666671</v>
      </c>
      <c r="AG111" s="7">
        <f>IF($B111&gt;64.9,'Retirement Planning'!$J$39/12,0)</f>
        <v>0</v>
      </c>
      <c r="AH111" s="7">
        <f>IF($B111&gt;64.9,'Retirement Planning'!$J$40/12,0)</f>
        <v>0</v>
      </c>
      <c r="AI111" s="7">
        <f>IF($B111&gt;64.9,'Retirement Planning'!$J$41/12,0)</f>
        <v>0</v>
      </c>
      <c r="AJ111" s="7">
        <f t="shared" ca="1" si="31"/>
        <v>641.33333333333337</v>
      </c>
      <c r="AK111" s="3" t="str">
        <f t="shared" ca="1" si="32"/>
        <v>N/A</v>
      </c>
      <c r="AL111" s="6" t="str">
        <f t="shared" ca="1" si="33"/>
        <v>N/A</v>
      </c>
      <c r="AM111" s="7">
        <f t="shared" ca="1" si="34"/>
        <v>-6.8212102632969618E-13</v>
      </c>
      <c r="AN111" s="7">
        <f t="shared" ca="1" si="35"/>
        <v>9305.6339313591016</v>
      </c>
      <c r="AO111" s="7">
        <f t="shared" si="36"/>
        <v>999.66666666666674</v>
      </c>
    </row>
    <row r="112" spans="1:41" x14ac:dyDescent="0.2">
      <c r="A112">
        <f t="shared" si="37"/>
        <v>50</v>
      </c>
      <c r="B112" s="5">
        <f t="shared" si="38"/>
        <v>64.8</v>
      </c>
      <c r="C112" s="56">
        <f t="shared" si="39"/>
        <v>49522</v>
      </c>
      <c r="D112" s="57">
        <f ca="1">IF(AND(B111&lt;59.5,OR(B112&gt;59.5,B112=59.5)),(D111-E111+J111-K111)*(1+'Retirement Planning'!$J$23/12),(D111-E111)*(1+'Retirement Planning'!$J$23/12))</f>
        <v>287111.77368214354</v>
      </c>
      <c r="E112" s="58">
        <f t="shared" ca="1" si="26"/>
        <v>917.99304135744478</v>
      </c>
      <c r="F112" s="57">
        <f ca="1">IF(AND(OR(B112&gt;59.5,B112=59.5),B111&lt;59.5),(F111-G111+L111-M111+N111-O111)*(1+'Retirement Planning'!$J$23/12),(F111-G111)*(1+'Retirement Planning'!$J$23/12))</f>
        <v>1163507.0036455858</v>
      </c>
      <c r="G112" s="58">
        <f ca="1">IF(AND($B$10&lt;55,B112&lt;59.5),'Retirement Planning'!$J$25,IF(OR(B112&gt;59.5,B112=59.5),MAX(0,MIN(F112,IF(D112&lt;2500,((Y112+AJ112+AA112))-X112,((Y112+AJ112+AA112)*'Retirement Planning'!$J$44)-X112))),0))</f>
        <v>6033.7134844008715</v>
      </c>
      <c r="H112" s="255">
        <f ca="1">IF(MONTH(C112)=1,IF(B112&gt;69.5,F112/(INDEX('Retirement Planning'!D$1:D$264,(160+INT(B112))))/12,0),IF(F112=0,0,H111))</f>
        <v>0</v>
      </c>
      <c r="I112" s="262">
        <f t="shared" ca="1" si="27"/>
        <v>0</v>
      </c>
      <c r="J112" s="254">
        <f ca="1">IF(AND(B111&lt;59.5,OR(B112=59.5,B112&gt;59.5)),0,(J111-K111)*(1+'Retirement Planning'!$J$23/12))</f>
        <v>0</v>
      </c>
      <c r="K112" s="58">
        <f t="shared" ca="1" si="28"/>
        <v>0</v>
      </c>
      <c r="L112" s="57">
        <f>IF(AND(OR(B112&gt;59.5,B112=59.5),B111&lt;59.5),0,(L111-M111)*(1+'Retirement Planning'!$J$23/12))</f>
        <v>0</v>
      </c>
      <c r="M112" s="59">
        <f>IF(AND($B$10&lt;55,B112&lt;59.5),0,IF(B112&lt;59.5,MAX(0,MIN((($Y112+$AJ112+AA112)*'Retirement Planning'!$J$44)-$G112-$X112,L112)),0))</f>
        <v>0</v>
      </c>
      <c r="N112" s="57">
        <f ca="1">(N111-O111)*(1+'Retirement Planning'!$J$23/12)</f>
        <v>0</v>
      </c>
      <c r="O112" s="59">
        <f ca="1">IF(B112&gt;59.5,MAX(0,MIN((AA112+$Y112+$AJ112)*(IF(D112&lt;(MIN(E100:E111)+1),1,'Retirement Planning'!$J$44))-M112-$G112-$X112-(IF(D112&lt;(MIN(E100:E111)+1),D112,0)),N112)),0)</f>
        <v>0</v>
      </c>
      <c r="P112" s="57">
        <f t="shared" si="40"/>
        <v>0</v>
      </c>
      <c r="Q112" s="58">
        <f t="shared" si="41"/>
        <v>0</v>
      </c>
      <c r="R112" s="57">
        <f ca="1">(R111-S111-T111)*(1+'Retirement Planning'!$J$23/12)</f>
        <v>294925.56717879127</v>
      </c>
      <c r="S112" s="58">
        <f t="shared" ca="1" si="42"/>
        <v>358.33333333333337</v>
      </c>
      <c r="T112" s="273">
        <f t="shared" ca="1" si="29"/>
        <v>-4.5474735088646412E-13</v>
      </c>
      <c r="U112" s="57">
        <f ca="1">(U111-V111)*(1+'Retirement Planning'!$J$23/12)</f>
        <v>239468.37982551791</v>
      </c>
      <c r="V112" s="24">
        <f ca="1">IF(AND($B$10&lt;55,B112&lt;59.5),MIN(U112,MAX(0,(Y112+AA112+AJ112-G112)*'Retirement Planning'!$J$45)),IF(B112&lt;59.5,(MIN(U112,MAX(0,((Y112+AA112+AJ112)-G112-M112)*'Retirement Planning'!$J$45))),MIN(U112,MAX(0,(Y112+AA112+AJ112-G112-M112-K112-X112)*'Retirement Planning'!$J$45))))</f>
        <v>781.99407226745302</v>
      </c>
      <c r="W112" s="7">
        <f t="shared" ca="1" si="30"/>
        <v>1985012.7243320388</v>
      </c>
      <c r="X112" s="7">
        <f>(IF(B112&gt;'Retirement Planning'!$J$34,IF('Retirement Planning'!$J$34=70,'Retirement Planning'!$J$37/12,IF('Retirement Planning'!$J$34=67,'Retirement Planning'!$J$36/12,'Retirement Planning'!$J$35/12)),0))*'Retirement Planning'!$J$38</f>
        <v>1213.6000000000001</v>
      </c>
      <c r="Y112" s="7">
        <f ca="1">'Retirement Planning'!$F$35*((1+'Retirement Planning'!$J$24)^(YEAR('Projected Retirement Drawdown'!C112)-YEAR(TODAY())))</f>
        <v>6836.2512719141469</v>
      </c>
      <c r="Z112" s="7">
        <f ca="1">G112+M112+O112+0.85*X112+V112*'Retirement Planning'!$J$46+T112</f>
        <v>7495.3702241479714</v>
      </c>
      <c r="AA112" s="7">
        <f ca="1">IF(MONTH(C112)=1,(((MIN(MAX(0,((SUM(Z100:Z111)-'Retirement Planning'!$I$53-'Retirement Planning'!$I$54)-'Retirement Planning'!$J$51)*'Retirement Planning'!$I$52))))+(MIN(MAX(0,((SUM(Z100:Z111)-'Retirement Planning'!$I$53-'Retirement Planning'!$I$54)-'Retirement Planning'!$J$50)*'Retirement Planning'!$I$51),('Retirement Planning'!$J$51-'Retirement Planning'!$J$50)*'Retirement Planning'!$I$51))+(MIN(MAX(0,((SUM(Z100:Z111)-'Retirement Planning'!$I$53-'Retirement Planning'!$I$54)-'Retirement Planning'!$J$49)*'Retirement Planning'!$I$50),('Retirement Planning'!$J$50-'Retirement Planning'!$J$49)*'Retirement Planning'!$I$50)+MIN(MAX(0,((SUM(Z100:Z111)-'Retirement Planning'!$I$53-'Retirement Planning'!$I$54)-'Retirement Planning'!$J$48)*'Retirement Planning'!$I$49),('Retirement Planning'!$J$49-'Retirement Planning'!$J$48)*'Retirement Planning'!$I$49)+MIN(((SUM(Z100:Z111)-'Retirement Planning'!$I$53-'Retirement Planning'!$I$54))*'Retirement Planning'!$I$48,('Retirement Planning'!$J$48)*'Retirement Planning'!$I$48))+(IF((SUM(Z100:Z111)-'Retirement Planning'!$I$54-'Retirement Planning'!$I$61)&gt;'Retirement Planning'!$J$59,(SUM(Z100:Z111)-'Retirement Planning'!$I$54-'Retirement Planning'!$I$61-'Retirement Planning'!$J$59)*'Retirement Planning'!$I$60+'Retirement Planning'!$K$59,IF((SUM(Z100:Z111)-'Retirement Planning'!$I$54-'Retirement Planning'!$I$61)&gt;'Retirement Planning'!$J$58,(SUM(Z100:Z111)-'Retirement Planning'!$I$54-'Retirement Planning'!$I$61-'Retirement Planning'!$J$58)*'Retirement Planning'!$I$59+'Retirement Planning'!$K$58,IF((SUM(Z100:Z111)-'Retirement Planning'!$I$54-'Retirement Planning'!$I$61)&gt;'Retirement Planning'!$J$57,(SUM(Z100:Z111)-'Retirement Planning'!$I$54-'Retirement Planning'!$I$61-'Retirement Planning'!$J$57)*'Retirement Planning'!$I$58+'Retirement Planning'!$K$57,IF((SUM(Z100:Z111)-'Retirement Planning'!$I$54-'Retirement Planning'!$I$61)&gt;'Retirement Planning'!$J$56,(SUM(Z100:Z111)-'Retirement Planning'!$I$54-'Retirement Planning'!$I$61-'Retirement Planning'!$J$56)*'Retirement Planning'!$I$57+'Retirement Planning'!$K$56,(SUM(Z100:Z111)-'Retirement Planning'!$I$54-'Retirement Planning'!$I$61)*'Retirement Planning'!$I$56))))))/12,AA111)</f>
        <v>1469.715992778288</v>
      </c>
      <c r="AB112" s="104">
        <f t="shared" ca="1" si="49"/>
        <v>0.20366044524596694</v>
      </c>
      <c r="AC112" s="7">
        <f>IF(B112&lt;65,'Retirement Planning'!$J$28,0)</f>
        <v>583</v>
      </c>
      <c r="AD112" s="7">
        <f>IF(B112&lt;65,'Retirement Planning'!$J$29/12,0)</f>
        <v>291.66666666666669</v>
      </c>
      <c r="AE112" s="22">
        <f>'Retirement Planning'!$J$31/12</f>
        <v>58.333333333333336</v>
      </c>
      <c r="AF112" s="22">
        <f>'Retirement Planning'!$J$32/12</f>
        <v>66.666666666666671</v>
      </c>
      <c r="AG112" s="7">
        <f>IF($B112&gt;64.9,'Retirement Planning'!$J$39/12,0)</f>
        <v>0</v>
      </c>
      <c r="AH112" s="7">
        <f>IF($B112&gt;64.9,'Retirement Planning'!$J$40/12,0)</f>
        <v>0</v>
      </c>
      <c r="AI112" s="7">
        <f>IF($B112&gt;64.9,'Retirement Planning'!$J$41/12,0)</f>
        <v>0</v>
      </c>
      <c r="AJ112" s="7">
        <f t="shared" ca="1" si="31"/>
        <v>641.33333333333337</v>
      </c>
      <c r="AK112" s="3" t="str">
        <f t="shared" ca="1" si="32"/>
        <v>N/A</v>
      </c>
      <c r="AL112" s="6" t="str">
        <f t="shared" ca="1" si="33"/>
        <v>N/A</v>
      </c>
      <c r="AM112" s="7">
        <f t="shared" ca="1" si="34"/>
        <v>-6.8212102632969618E-13</v>
      </c>
      <c r="AN112" s="7">
        <f t="shared" ca="1" si="35"/>
        <v>9305.6339313591016</v>
      </c>
      <c r="AO112" s="7">
        <f t="shared" si="36"/>
        <v>999.66666666666674</v>
      </c>
    </row>
    <row r="113" spans="1:41" x14ac:dyDescent="0.2">
      <c r="A113">
        <f t="shared" si="37"/>
        <v>50</v>
      </c>
      <c r="B113" s="5">
        <f t="shared" si="38"/>
        <v>64.900000000000006</v>
      </c>
      <c r="C113" s="56">
        <f t="shared" si="39"/>
        <v>49553</v>
      </c>
      <c r="D113" s="57">
        <f ca="1">IF(AND(B112&lt;59.5,OR(B113&gt;59.5,B113=59.5)),(D112-E112+J112-K112)*(1+'Retirement Planning'!$J$23/12),(D112-E112)*(1+'Retirement Planning'!$J$23/12))</f>
        <v>288220.9865869917</v>
      </c>
      <c r="E113" s="58">
        <f t="shared" ca="1" si="26"/>
        <v>917.99304135744478</v>
      </c>
      <c r="F113" s="57">
        <f ca="1">IF(AND(OR(B113&gt;59.5,B113=59.5),B112&lt;59.5),(F112-G112+L112-M112+N112-O112)*(1+'Retirement Planning'!$J$23/12),(F112-G112)*(1+'Retirement Planning'!$J$23/12))</f>
        <v>1165672.0592998266</v>
      </c>
      <c r="G113" s="58">
        <f ca="1">IF(AND($B$10&lt;55,B113&lt;59.5),'Retirement Planning'!$J$25,IF(OR(B113&gt;59.5,B113=59.5),MAX(0,MIN(F113,IF(D113&lt;2500,((Y113+AJ113+AA113))-X113,((Y113+AJ113+AA113)*'Retirement Planning'!$J$44)-X113))),0))</f>
        <v>6033.7134844008715</v>
      </c>
      <c r="H113" s="255">
        <f ca="1">IF(MONTH(C113)=1,IF(B113&gt;69.5,F113/(INDEX('Retirement Planning'!D$1:D$264,(160+INT(B113))))/12,0),IF(F113=0,0,H112))</f>
        <v>0</v>
      </c>
      <c r="I113" s="262">
        <f t="shared" ca="1" si="27"/>
        <v>0</v>
      </c>
      <c r="J113" s="254">
        <f ca="1">IF(AND(B112&lt;59.5,OR(B113=59.5,B113&gt;59.5)),0,(J112-K112)*(1+'Retirement Planning'!$J$23/12))</f>
        <v>0</v>
      </c>
      <c r="K113" s="58">
        <f t="shared" ca="1" si="28"/>
        <v>0</v>
      </c>
      <c r="L113" s="57">
        <f>IF(AND(OR(B113&gt;59.5,B113=59.5),B112&lt;59.5),0,(L112-M112)*(1+'Retirement Planning'!$J$23/12))</f>
        <v>0</v>
      </c>
      <c r="M113" s="59">
        <f>IF(AND($B$10&lt;55,B113&lt;59.5),0,IF(B113&lt;59.5,MAX(0,MIN((($Y113+$AJ113+AA113)*'Retirement Planning'!$J$44)-$G113-$X113,L113)),0))</f>
        <v>0</v>
      </c>
      <c r="N113" s="57">
        <f ca="1">(N112-O112)*(1+'Retirement Planning'!$J$23/12)</f>
        <v>0</v>
      </c>
      <c r="O113" s="59">
        <f ca="1">IF(B113&gt;59.5,MAX(0,MIN((AA113+$Y113+$AJ113)*(IF(D113&lt;(MIN(E101:E112)+1),1,'Retirement Planning'!$J$44))-M113-$G113-$X113-(IF(D113&lt;(MIN(E101:E112)+1),D113,0)),N113)),0)</f>
        <v>0</v>
      </c>
      <c r="P113" s="57">
        <f t="shared" si="40"/>
        <v>0</v>
      </c>
      <c r="Q113" s="58">
        <f t="shared" si="41"/>
        <v>0</v>
      </c>
      <c r="R113" s="57">
        <f ca="1">(R112-S112-T112)*(1+'Retirement Planning'!$J$23/12)</f>
        <v>296653.75175186328</v>
      </c>
      <c r="S113" s="58">
        <f t="shared" ca="1" si="42"/>
        <v>358.33333333333337</v>
      </c>
      <c r="T113" s="273">
        <f t="shared" ca="1" si="29"/>
        <v>-4.5474735088646412E-13</v>
      </c>
      <c r="U113" s="57">
        <f ca="1">(U112-V112)*(1+'Retirement Planning'!$J$23/12)</f>
        <v>240377.08098566931</v>
      </c>
      <c r="V113" s="24">
        <f ca="1">IF(AND($B$10&lt;55,B113&lt;59.5),MIN(U113,MAX(0,(Y113+AA113+AJ113-G113)*'Retirement Planning'!$J$45)),IF(B113&lt;59.5,(MIN(U113,MAX(0,((Y113+AA113+AJ113)-G113-M113)*'Retirement Planning'!$J$45))),MIN(U113,MAX(0,(Y113+AA113+AJ113-G113-M113-K113-X113)*'Retirement Planning'!$J$45))))</f>
        <v>781.99407226745302</v>
      </c>
      <c r="W113" s="7">
        <f t="shared" ca="1" si="30"/>
        <v>1990923.878624351</v>
      </c>
      <c r="X113" s="7">
        <f>(IF(B113&gt;'Retirement Planning'!$J$34,IF('Retirement Planning'!$J$34=70,'Retirement Planning'!$J$37/12,IF('Retirement Planning'!$J$34=67,'Retirement Planning'!$J$36/12,'Retirement Planning'!$J$35/12)),0))*'Retirement Planning'!$J$38</f>
        <v>1213.6000000000001</v>
      </c>
      <c r="Y113" s="7">
        <f ca="1">'Retirement Planning'!$F$35*((1+'Retirement Planning'!$J$24)^(YEAR('Projected Retirement Drawdown'!C113)-YEAR(TODAY())))</f>
        <v>6836.2512719141469</v>
      </c>
      <c r="Z113" s="7">
        <f ca="1">G113+M113+O113+0.85*X113+V113*'Retirement Planning'!$J$46+T113</f>
        <v>7495.3702241479714</v>
      </c>
      <c r="AA113" s="7">
        <f ca="1">IF(MONTH(C113)=1,(((MIN(MAX(0,((SUM(Z101:Z112)-'Retirement Planning'!$I$53-'Retirement Planning'!$I$54)-'Retirement Planning'!$J$51)*'Retirement Planning'!$I$52))))+(MIN(MAX(0,((SUM(Z101:Z112)-'Retirement Planning'!$I$53-'Retirement Planning'!$I$54)-'Retirement Planning'!$J$50)*'Retirement Planning'!$I$51),('Retirement Planning'!$J$51-'Retirement Planning'!$J$50)*'Retirement Planning'!$I$51))+(MIN(MAX(0,((SUM(Z101:Z112)-'Retirement Planning'!$I$53-'Retirement Planning'!$I$54)-'Retirement Planning'!$J$49)*'Retirement Planning'!$I$50),('Retirement Planning'!$J$50-'Retirement Planning'!$J$49)*'Retirement Planning'!$I$50)+MIN(MAX(0,((SUM(Z101:Z112)-'Retirement Planning'!$I$53-'Retirement Planning'!$I$54)-'Retirement Planning'!$J$48)*'Retirement Planning'!$I$49),('Retirement Planning'!$J$49-'Retirement Planning'!$J$48)*'Retirement Planning'!$I$49)+MIN(((SUM(Z101:Z112)-'Retirement Planning'!$I$53-'Retirement Planning'!$I$54))*'Retirement Planning'!$I$48,('Retirement Planning'!$J$48)*'Retirement Planning'!$I$48))+(IF((SUM(Z101:Z112)-'Retirement Planning'!$I$54-'Retirement Planning'!$I$61)&gt;'Retirement Planning'!$J$59,(SUM(Z101:Z112)-'Retirement Planning'!$I$54-'Retirement Planning'!$I$61-'Retirement Planning'!$J$59)*'Retirement Planning'!$I$60+'Retirement Planning'!$K$59,IF((SUM(Z101:Z112)-'Retirement Planning'!$I$54-'Retirement Planning'!$I$61)&gt;'Retirement Planning'!$J$58,(SUM(Z101:Z112)-'Retirement Planning'!$I$54-'Retirement Planning'!$I$61-'Retirement Planning'!$J$58)*'Retirement Planning'!$I$59+'Retirement Planning'!$K$58,IF((SUM(Z101:Z112)-'Retirement Planning'!$I$54-'Retirement Planning'!$I$61)&gt;'Retirement Planning'!$J$57,(SUM(Z101:Z112)-'Retirement Planning'!$I$54-'Retirement Planning'!$I$61-'Retirement Planning'!$J$57)*'Retirement Planning'!$I$58+'Retirement Planning'!$K$57,IF((SUM(Z101:Z112)-'Retirement Planning'!$I$54-'Retirement Planning'!$I$61)&gt;'Retirement Planning'!$J$56,(SUM(Z101:Z112)-'Retirement Planning'!$I$54-'Retirement Planning'!$I$61-'Retirement Planning'!$J$56)*'Retirement Planning'!$I$57+'Retirement Planning'!$K$56,(SUM(Z101:Z112)-'Retirement Planning'!$I$54-'Retirement Planning'!$I$61)*'Retirement Planning'!$I$56))))))/12,AA112)</f>
        <v>1469.715992778288</v>
      </c>
      <c r="AB113" s="104">
        <f t="shared" ca="1" si="49"/>
        <v>0.20366044524596694</v>
      </c>
      <c r="AC113" s="7">
        <f>IF(B113&lt;65,'Retirement Planning'!$J$28,0)</f>
        <v>583</v>
      </c>
      <c r="AD113" s="7">
        <f>IF(B113&lt;65,'Retirement Planning'!$J$29/12,0)</f>
        <v>291.66666666666669</v>
      </c>
      <c r="AE113" s="22">
        <f>'Retirement Planning'!$J$31/12</f>
        <v>58.333333333333336</v>
      </c>
      <c r="AF113" s="22">
        <f>'Retirement Planning'!$J$32/12</f>
        <v>66.666666666666671</v>
      </c>
      <c r="AG113" s="7">
        <f>IF($B113&gt;64.9,'Retirement Planning'!$J$39/12,0)</f>
        <v>0</v>
      </c>
      <c r="AH113" s="7">
        <f>IF($B113&gt;64.9,'Retirement Planning'!$J$40/12,0)</f>
        <v>0</v>
      </c>
      <c r="AI113" s="7">
        <f>IF($B113&gt;64.9,'Retirement Planning'!$J$41/12,0)</f>
        <v>0</v>
      </c>
      <c r="AJ113" s="7">
        <f t="shared" ca="1" si="31"/>
        <v>641.33333333333337</v>
      </c>
      <c r="AK113" s="3" t="str">
        <f t="shared" ca="1" si="32"/>
        <v>N/A</v>
      </c>
      <c r="AL113" s="6" t="str">
        <f t="shared" ca="1" si="33"/>
        <v>N/A</v>
      </c>
      <c r="AM113" s="7">
        <f t="shared" ca="1" si="34"/>
        <v>-6.8212102632969618E-13</v>
      </c>
      <c r="AN113" s="7">
        <f t="shared" ca="1" si="35"/>
        <v>9305.6339313591016</v>
      </c>
      <c r="AO113" s="7">
        <f t="shared" si="36"/>
        <v>999.66666666666674</v>
      </c>
    </row>
    <row r="114" spans="1:41" x14ac:dyDescent="0.2">
      <c r="A114">
        <f t="shared" si="37"/>
        <v>50</v>
      </c>
      <c r="B114" s="5">
        <f t="shared" si="38"/>
        <v>65</v>
      </c>
      <c r="C114" s="56">
        <f t="shared" si="39"/>
        <v>49583</v>
      </c>
      <c r="D114" s="57">
        <f ca="1">IF(AND(B113&lt;59.5,OR(B114&gt;59.5,B114=59.5)),(D113-E113+J113-K113)*(1+'Retirement Planning'!$J$23/12),(D113-E113)*(1+'Retirement Planning'!$J$23/12))</f>
        <v>289338.05641658249</v>
      </c>
      <c r="E114" s="58">
        <f t="shared" ca="1" si="26"/>
        <v>884.68224135744367</v>
      </c>
      <c r="F114" s="57">
        <f ca="1">IF(AND(OR(B114&gt;59.5,B114=59.5),B113&lt;59.5),(F113-G113+L113-M113+N113-O113)*(1+'Retirement Planning'!$J$23/12),(F113-G113)*(1+'Retirement Planning'!$J$23/12))</f>
        <v>1167852.4507649518</v>
      </c>
      <c r="G114" s="58">
        <f ca="1">IF(AND($B$10&lt;55,B114&lt;59.5),'Retirement Planning'!$J$25,IF(OR(B114&gt;59.5,B114=59.5),MAX(0,MIN(F114,IF(D114&lt;2500,((Y114+AJ114+AA114))-X114,((Y114+AJ114+AA114)*'Retirement Planning'!$J$44)-X114))),0))</f>
        <v>5770.7334844008719</v>
      </c>
      <c r="H114" s="255">
        <f ca="1">IF(MONTH(C114)=1,IF(B114&gt;69.5,F114/(INDEX('Retirement Planning'!D$1:D$264,(160+INT(B114))))/12,0),IF(F114=0,0,H113))</f>
        <v>0</v>
      </c>
      <c r="I114" s="262">
        <f t="shared" ca="1" si="27"/>
        <v>0</v>
      </c>
      <c r="J114" s="254">
        <f ca="1">IF(AND(B113&lt;59.5,OR(B114=59.5,B114&gt;59.5)),0,(J113-K113)*(1+'Retirement Planning'!$J$23/12))</f>
        <v>0</v>
      </c>
      <c r="K114" s="58">
        <f t="shared" ca="1" si="28"/>
        <v>0</v>
      </c>
      <c r="L114" s="57">
        <f>IF(AND(OR(B114&gt;59.5,B114=59.5),B113&lt;59.5),0,(L113-M113)*(1+'Retirement Planning'!$J$23/12))</f>
        <v>0</v>
      </c>
      <c r="M114" s="59">
        <f>IF(AND($B$10&lt;55,B114&lt;59.5),0,IF(B114&lt;59.5,MAX(0,MIN((($Y114+$AJ114+AA114)*'Retirement Planning'!$J$44)-$G114-$X114,L114)),0))</f>
        <v>0</v>
      </c>
      <c r="N114" s="57">
        <f ca="1">(N113-O113)*(1+'Retirement Planning'!$J$23/12)</f>
        <v>0</v>
      </c>
      <c r="O114" s="59">
        <f ca="1">IF(B114&gt;59.5,MAX(0,MIN((AA114+$Y114+$AJ114)*(IF(D114&lt;(MIN(E102:E113)+1),1,'Retirement Planning'!$J$44))-M114-$G114-$X114-(IF(D114&lt;(MIN(E102:E113)+1),D114,0)),N114)),0)</f>
        <v>0</v>
      </c>
      <c r="P114" s="57">
        <f t="shared" si="40"/>
        <v>0</v>
      </c>
      <c r="Q114" s="58">
        <f t="shared" si="41"/>
        <v>0</v>
      </c>
      <c r="R114" s="57">
        <f ca="1">(R113-S113-T113)*(1+'Retirement Planning'!$J$23/12)</f>
        <v>298394.17763232789</v>
      </c>
      <c r="S114" s="58">
        <f t="shared" ca="1" si="42"/>
        <v>808.33333333333337</v>
      </c>
      <c r="T114" s="273">
        <f t="shared" ca="1" si="29"/>
        <v>-2.0463630789890885E-12</v>
      </c>
      <c r="U114" s="57">
        <f ca="1">(U113-V113)*(1+'Retirement Planning'!$J$23/12)</f>
        <v>241292.21877903843</v>
      </c>
      <c r="V114" s="24">
        <f ca="1">IF(AND($B$10&lt;55,B114&lt;59.5),MIN(U114,MAX(0,(Y114+AA114+AJ114-G114)*'Retirement Planning'!$J$45)),IF(B114&lt;59.5,(MIN(U114,MAX(0,((Y114+AA114+AJ114)-G114-M114)*'Retirement Planning'!$J$45))),MIN(U114,MAX(0,(Y114+AA114+AJ114-G114-M114-K114-X114)*'Retirement Planning'!$J$45))))</f>
        <v>753.61820560078559</v>
      </c>
      <c r="W114" s="7">
        <f t="shared" ca="1" si="30"/>
        <v>1996876.9035929006</v>
      </c>
      <c r="X114" s="7">
        <f>(IF(B114&gt;'Retirement Planning'!$J$34,IF('Retirement Planning'!$J$34=70,'Retirement Planning'!$J$37/12,IF('Retirement Planning'!$J$34=67,'Retirement Planning'!$J$36/12,'Retirement Planning'!$J$35/12)),0))*'Retirement Planning'!$J$38</f>
        <v>1213.6000000000001</v>
      </c>
      <c r="Y114" s="7">
        <f ca="1">'Retirement Planning'!$F$35*((1+'Retirement Planning'!$J$24)^(YEAR('Projected Retirement Drawdown'!C114)-YEAR(TODAY())))</f>
        <v>6836.2512719141469</v>
      </c>
      <c r="Z114" s="7">
        <f ca="1">G114+M114+O114+0.85*X114+V114*'Retirement Planning'!$J$46+T114</f>
        <v>7216.7834974813022</v>
      </c>
      <c r="AA114" s="7">
        <f ca="1">IF(MONTH(C114)=1,(((MIN(MAX(0,((SUM(Z102:Z113)-'Retirement Planning'!$I$53-'Retirement Planning'!$I$54)-'Retirement Planning'!$J$51)*'Retirement Planning'!$I$52))))+(MIN(MAX(0,((SUM(Z102:Z113)-'Retirement Planning'!$I$53-'Retirement Planning'!$I$54)-'Retirement Planning'!$J$50)*'Retirement Planning'!$I$51),('Retirement Planning'!$J$51-'Retirement Planning'!$J$50)*'Retirement Planning'!$I$51))+(MIN(MAX(0,((SUM(Z102:Z113)-'Retirement Planning'!$I$53-'Retirement Planning'!$I$54)-'Retirement Planning'!$J$49)*'Retirement Planning'!$I$50),('Retirement Planning'!$J$50-'Retirement Planning'!$J$49)*'Retirement Planning'!$I$50)+MIN(MAX(0,((SUM(Z102:Z113)-'Retirement Planning'!$I$53-'Retirement Planning'!$I$54)-'Retirement Planning'!$J$48)*'Retirement Planning'!$I$49),('Retirement Planning'!$J$49-'Retirement Planning'!$J$48)*'Retirement Planning'!$I$49)+MIN(((SUM(Z102:Z113)-'Retirement Planning'!$I$53-'Retirement Planning'!$I$54))*'Retirement Planning'!$I$48,('Retirement Planning'!$J$48)*'Retirement Planning'!$I$48))+(IF((SUM(Z102:Z113)-'Retirement Planning'!$I$54-'Retirement Planning'!$I$61)&gt;'Retirement Planning'!$J$59,(SUM(Z102:Z113)-'Retirement Planning'!$I$54-'Retirement Planning'!$I$61-'Retirement Planning'!$J$59)*'Retirement Planning'!$I$60+'Retirement Planning'!$K$59,IF((SUM(Z102:Z113)-'Retirement Planning'!$I$54-'Retirement Planning'!$I$61)&gt;'Retirement Planning'!$J$58,(SUM(Z102:Z113)-'Retirement Planning'!$I$54-'Retirement Planning'!$I$61-'Retirement Planning'!$J$58)*'Retirement Planning'!$I$59+'Retirement Planning'!$K$58,IF((SUM(Z102:Z113)-'Retirement Planning'!$I$54-'Retirement Planning'!$I$61)&gt;'Retirement Planning'!$J$57,(SUM(Z102:Z113)-'Retirement Planning'!$I$54-'Retirement Planning'!$I$61-'Retirement Planning'!$J$57)*'Retirement Planning'!$I$58+'Retirement Planning'!$K$57,IF((SUM(Z102:Z113)-'Retirement Planning'!$I$54-'Retirement Planning'!$I$61)&gt;'Retirement Planning'!$J$56,(SUM(Z102:Z113)-'Retirement Planning'!$I$54-'Retirement Planning'!$I$61-'Retirement Planning'!$J$56)*'Retirement Planning'!$I$57+'Retirement Planning'!$K$56,(SUM(Z102:Z113)-'Retirement Planning'!$I$54-'Retirement Planning'!$I$61)*'Retirement Planning'!$I$56))))))/12,AA113)</f>
        <v>1469.715992778288</v>
      </c>
      <c r="AB114" s="104">
        <f t="shared" ca="1" si="49"/>
        <v>0.20366044524596694</v>
      </c>
      <c r="AC114" s="7">
        <f>IF(B114&lt;65,'Retirement Planning'!$J$28,0)</f>
        <v>0</v>
      </c>
      <c r="AD114" s="7">
        <f>IF(B114&lt;65,'Retirement Planning'!$J$29/12,0)</f>
        <v>0</v>
      </c>
      <c r="AE114" s="22">
        <f>'Retirement Planning'!$J$31/12</f>
        <v>58.333333333333336</v>
      </c>
      <c r="AF114" s="22">
        <f>'Retirement Planning'!$J$32/12</f>
        <v>66.666666666666671</v>
      </c>
      <c r="AG114" s="7">
        <f>IF($B114&gt;64.9,'Retirement Planning'!$J$39/12,0)</f>
        <v>183.33333333333334</v>
      </c>
      <c r="AH114" s="7">
        <f>IF($B114&gt;64.9,'Retirement Planning'!$J$40/12,0)</f>
        <v>258.33333333333331</v>
      </c>
      <c r="AI114" s="7">
        <f>IF($B114&gt;64.9,'Retirement Planning'!$J$41/12,0)</f>
        <v>558.33333333333337</v>
      </c>
      <c r="AJ114" s="7">
        <f t="shared" ca="1" si="31"/>
        <v>316.66666666666663</v>
      </c>
      <c r="AK114" s="3" t="str">
        <f t="shared" ca="1" si="32"/>
        <v>N/A</v>
      </c>
      <c r="AL114" s="6" t="str">
        <f t="shared" ca="1" si="33"/>
        <v>N/A</v>
      </c>
      <c r="AM114" s="7">
        <f t="shared" ca="1" si="34"/>
        <v>4.7748471843078732E-12</v>
      </c>
      <c r="AN114" s="7">
        <f t="shared" ca="1" si="35"/>
        <v>9430.9672646924337</v>
      </c>
      <c r="AO114" s="7">
        <f t="shared" si="36"/>
        <v>1125</v>
      </c>
    </row>
    <row r="115" spans="1:41" x14ac:dyDescent="0.2">
      <c r="A115">
        <f t="shared" si="37"/>
        <v>50</v>
      </c>
      <c r="B115" s="5">
        <f t="shared" si="38"/>
        <v>65</v>
      </c>
      <c r="C115" s="56">
        <f t="shared" si="39"/>
        <v>49614</v>
      </c>
      <c r="D115" s="57">
        <f ca="1">IF(AND(B114&lt;59.5,OR(B115&gt;59.5,B115=59.5)),(D114-E114+J114-K114)*(1+'Retirement Planning'!$J$23/12),(D114-E114)*(1+'Retirement Planning'!$J$23/12))</f>
        <v>290496.58557563287</v>
      </c>
      <c r="E115" s="58">
        <f t="shared" ca="1" si="26"/>
        <v>884.68224135744367</v>
      </c>
      <c r="F115" s="57">
        <f ca="1">IF(AND(OR(B115&gt;59.5,B115=59.5),B114&lt;59.5),(F114-G114+L114-M114+N114-O114)*(1+'Retirement Planning'!$J$23/12),(F114-G114)*(1+'Retirement Planning'!$J$23/12))</f>
        <v>1170313.1294446215</v>
      </c>
      <c r="G115" s="58">
        <f ca="1">IF(AND($B$10&lt;55,B115&lt;59.5),'Retirement Planning'!$J$25,IF(OR(B115&gt;59.5,B115=59.5),MAX(0,MIN(F115,IF(D115&lt;2500,((Y115+AJ115+AA115))-X115,((Y115+AJ115+AA115)*'Retirement Planning'!$J$44)-X115))),0))</f>
        <v>5770.7334844008719</v>
      </c>
      <c r="H115" s="255">
        <f ca="1">IF(MONTH(C115)=1,IF(B115&gt;69.5,F115/(INDEX('Retirement Planning'!D$1:D$264,(160+INT(B115))))/12,0),IF(F115=0,0,H114))</f>
        <v>0</v>
      </c>
      <c r="I115" s="262">
        <f t="shared" ca="1" si="27"/>
        <v>0</v>
      </c>
      <c r="J115" s="254">
        <f ca="1">IF(AND(B114&lt;59.5,OR(B115=59.5,B115&gt;59.5)),0,(J114-K114)*(1+'Retirement Planning'!$J$23/12))</f>
        <v>0</v>
      </c>
      <c r="K115" s="58">
        <f t="shared" ca="1" si="28"/>
        <v>0</v>
      </c>
      <c r="L115" s="57">
        <f>IF(AND(OR(B115&gt;59.5,B115=59.5),B114&lt;59.5),0,(L114-M114)*(1+'Retirement Planning'!$J$23/12))</f>
        <v>0</v>
      </c>
      <c r="M115" s="59">
        <f>IF(AND($B$10&lt;55,B115&lt;59.5),0,IF(B115&lt;59.5,MAX(0,MIN((($Y115+$AJ115+AA115)*'Retirement Planning'!$J$44)-$G115-$X115,L115)),0))</f>
        <v>0</v>
      </c>
      <c r="N115" s="57">
        <f ca="1">(N114-O114)*(1+'Retirement Planning'!$J$23/12)</f>
        <v>0</v>
      </c>
      <c r="O115" s="59">
        <f ca="1">IF(B115&gt;59.5,MAX(0,MIN((AA115+$Y115+$AJ115)*(IF(D115&lt;(MIN(E103:E114)+1),1,'Retirement Planning'!$J$44))-M115-$G115-$X115-(IF(D115&lt;(MIN(E103:E114)+1),D115,0)),N115)),0)</f>
        <v>0</v>
      </c>
      <c r="P115" s="57">
        <f t="shared" si="40"/>
        <v>0</v>
      </c>
      <c r="Q115" s="58">
        <f t="shared" si="41"/>
        <v>0</v>
      </c>
      <c r="R115" s="57">
        <f ca="1">(R114-S114-T114)*(1+'Retirement Planning'!$J$23/12)</f>
        <v>299693.74402944581</v>
      </c>
      <c r="S115" s="58">
        <f t="shared" ca="1" si="42"/>
        <v>808.33333333333337</v>
      </c>
      <c r="T115" s="273">
        <f t="shared" ca="1" si="29"/>
        <v>-2.0463630789890885E-12</v>
      </c>
      <c r="U115" s="57">
        <f ca="1">(U114-V114)*(1+'Retirement Planning'!$J$23/12)</f>
        <v>242242.41566083283</v>
      </c>
      <c r="V115" s="24">
        <f ca="1">IF(AND($B$10&lt;55,B115&lt;59.5),MIN(U115,MAX(0,(Y115+AA115+AJ115-G115)*'Retirement Planning'!$J$45)),IF(B115&lt;59.5,(MIN(U115,MAX(0,((Y115+AA115+AJ115)-G115-M115)*'Retirement Planning'!$J$45))),MIN(U115,MAX(0,(Y115+AA115+AJ115-G115-M115-K115-X115)*'Retirement Planning'!$J$45))))</f>
        <v>753.61820560078559</v>
      </c>
      <c r="W115" s="7">
        <f t="shared" ca="1" si="30"/>
        <v>2002745.8747105328</v>
      </c>
      <c r="X115" s="7">
        <f>(IF(B115&gt;'Retirement Planning'!$J$34,IF('Retirement Planning'!$J$34=70,'Retirement Planning'!$J$37/12,IF('Retirement Planning'!$J$34=67,'Retirement Planning'!$J$36/12,'Retirement Planning'!$J$35/12)),0))*'Retirement Planning'!$J$38</f>
        <v>1213.6000000000001</v>
      </c>
      <c r="Y115" s="7">
        <f ca="1">'Retirement Planning'!$F$35*((1+'Retirement Planning'!$J$24)^(YEAR('Projected Retirement Drawdown'!C115)-YEAR(TODAY())))</f>
        <v>6836.2512719141469</v>
      </c>
      <c r="Z115" s="7">
        <f ca="1">G115+M115+O115+0.85*X115+V115*'Retirement Planning'!$J$46+T115</f>
        <v>7216.7834974813022</v>
      </c>
      <c r="AA115" s="7">
        <f ca="1">IF(MONTH(C115)=1,(((MIN(MAX(0,((SUM(Z103:Z114)-'Retirement Planning'!$I$53-'Retirement Planning'!$I$54)-'Retirement Planning'!$J$51)*'Retirement Planning'!$I$52))))+(MIN(MAX(0,((SUM(Z103:Z114)-'Retirement Planning'!$I$53-'Retirement Planning'!$I$54)-'Retirement Planning'!$J$50)*'Retirement Planning'!$I$51),('Retirement Planning'!$J$51-'Retirement Planning'!$J$50)*'Retirement Planning'!$I$51))+(MIN(MAX(0,((SUM(Z103:Z114)-'Retirement Planning'!$I$53-'Retirement Planning'!$I$54)-'Retirement Planning'!$J$49)*'Retirement Planning'!$I$50),('Retirement Planning'!$J$50-'Retirement Planning'!$J$49)*'Retirement Planning'!$I$50)+MIN(MAX(0,((SUM(Z103:Z114)-'Retirement Planning'!$I$53-'Retirement Planning'!$I$54)-'Retirement Planning'!$J$48)*'Retirement Planning'!$I$49),('Retirement Planning'!$J$49-'Retirement Planning'!$J$48)*'Retirement Planning'!$I$49)+MIN(((SUM(Z103:Z114)-'Retirement Planning'!$I$53-'Retirement Planning'!$I$54))*'Retirement Planning'!$I$48,('Retirement Planning'!$J$48)*'Retirement Planning'!$I$48))+(IF((SUM(Z103:Z114)-'Retirement Planning'!$I$54-'Retirement Planning'!$I$61)&gt;'Retirement Planning'!$J$59,(SUM(Z103:Z114)-'Retirement Planning'!$I$54-'Retirement Planning'!$I$61-'Retirement Planning'!$J$59)*'Retirement Planning'!$I$60+'Retirement Planning'!$K$59,IF((SUM(Z103:Z114)-'Retirement Planning'!$I$54-'Retirement Planning'!$I$61)&gt;'Retirement Planning'!$J$58,(SUM(Z103:Z114)-'Retirement Planning'!$I$54-'Retirement Planning'!$I$61-'Retirement Planning'!$J$58)*'Retirement Planning'!$I$59+'Retirement Planning'!$K$58,IF((SUM(Z103:Z114)-'Retirement Planning'!$I$54-'Retirement Planning'!$I$61)&gt;'Retirement Planning'!$J$57,(SUM(Z103:Z114)-'Retirement Planning'!$I$54-'Retirement Planning'!$I$61-'Retirement Planning'!$J$57)*'Retirement Planning'!$I$58+'Retirement Planning'!$K$57,IF((SUM(Z103:Z114)-'Retirement Planning'!$I$54-'Retirement Planning'!$I$61)&gt;'Retirement Planning'!$J$56,(SUM(Z103:Z114)-'Retirement Planning'!$I$54-'Retirement Planning'!$I$61-'Retirement Planning'!$J$56)*'Retirement Planning'!$I$57+'Retirement Planning'!$K$56,(SUM(Z103:Z114)-'Retirement Planning'!$I$54-'Retirement Planning'!$I$61)*'Retirement Planning'!$I$56))))))/12,AA114)</f>
        <v>1469.715992778288</v>
      </c>
      <c r="AB115" s="104">
        <f t="shared" ca="1" si="49"/>
        <v>0.20366044524596694</v>
      </c>
      <c r="AC115" s="7">
        <f>IF(B115&lt;65,'Retirement Planning'!$J$28,0)</f>
        <v>0</v>
      </c>
      <c r="AD115" s="7">
        <f>IF(B115&lt;65,'Retirement Planning'!$J$29/12,0)</f>
        <v>0</v>
      </c>
      <c r="AE115" s="22">
        <f>'Retirement Planning'!$J$31/12</f>
        <v>58.333333333333336</v>
      </c>
      <c r="AF115" s="22">
        <f>'Retirement Planning'!$J$32/12</f>
        <v>66.666666666666671</v>
      </c>
      <c r="AG115" s="7">
        <f>IF($B115&gt;64.9,'Retirement Planning'!$J$39/12,0)</f>
        <v>183.33333333333334</v>
      </c>
      <c r="AH115" s="7">
        <f>IF($B115&gt;64.9,'Retirement Planning'!$J$40/12,0)</f>
        <v>258.33333333333331</v>
      </c>
      <c r="AI115" s="7">
        <f>IF($B115&gt;64.9,'Retirement Planning'!$J$41/12,0)</f>
        <v>558.33333333333337</v>
      </c>
      <c r="AJ115" s="7">
        <f t="shared" ca="1" si="31"/>
        <v>316.66666666666663</v>
      </c>
      <c r="AK115" s="3" t="str">
        <f t="shared" ca="1" si="32"/>
        <v>N/A</v>
      </c>
      <c r="AL115" s="6" t="str">
        <f t="shared" ca="1" si="33"/>
        <v>N/A</v>
      </c>
      <c r="AM115" s="7">
        <f t="shared" ca="1" si="34"/>
        <v>4.7748471843078732E-12</v>
      </c>
      <c r="AN115" s="7">
        <f t="shared" ca="1" si="35"/>
        <v>9430.9672646924337</v>
      </c>
      <c r="AO115" s="7">
        <f t="shared" si="36"/>
        <v>1125</v>
      </c>
    </row>
    <row r="116" spans="1:41" x14ac:dyDescent="0.2">
      <c r="A116">
        <f t="shared" si="37"/>
        <v>50</v>
      </c>
      <c r="B116" s="5">
        <f t="shared" si="38"/>
        <v>65.099999999999994</v>
      </c>
      <c r="C116" s="56">
        <f t="shared" si="39"/>
        <v>49644</v>
      </c>
      <c r="D116" s="57">
        <f ca="1">IF(AND(B115&lt;59.5,OR(B116&gt;59.5,B116=59.5)),(D115-E115+J115-K115)*(1+'Retirement Planning'!$J$23/12),(D115-E115)*(1+'Retirement Planning'!$J$23/12))</f>
        <v>291663.32098289317</v>
      </c>
      <c r="E116" s="58">
        <f t="shared" ca="1" si="26"/>
        <v>884.68224135744367</v>
      </c>
      <c r="F116" s="57">
        <f ca="1">IF(AND(OR(B116&gt;59.5,B116=59.5),B115&lt;59.5),(F115-G115+L115-M115+N115-O115)*(1+'Retirement Planning'!$J$23/12),(F115-G115)*(1+'Retirement Planning'!$J$23/12))</f>
        <v>1172791.2379316054</v>
      </c>
      <c r="G116" s="58">
        <f ca="1">IF(AND($B$10&lt;55,B116&lt;59.5),'Retirement Planning'!$J$25,IF(OR(B116&gt;59.5,B116=59.5),MAX(0,MIN(F116,IF(D116&lt;2500,((Y116+AJ116+AA116))-X116,((Y116+AJ116+AA116)*'Retirement Planning'!$J$44)-X116))),0))</f>
        <v>5770.7334844008719</v>
      </c>
      <c r="H116" s="255">
        <f ca="1">IF(MONTH(C116)=1,IF(B116&gt;69.5,F116/(INDEX('Retirement Planning'!D$1:D$264,(160+INT(B116))))/12,0),IF(F116=0,0,H115))</f>
        <v>0</v>
      </c>
      <c r="I116" s="262">
        <f t="shared" ca="1" si="27"/>
        <v>0</v>
      </c>
      <c r="J116" s="254">
        <f ca="1">IF(AND(B115&lt;59.5,OR(B116=59.5,B116&gt;59.5)),0,(J115-K115)*(1+'Retirement Planning'!$J$23/12))</f>
        <v>0</v>
      </c>
      <c r="K116" s="58">
        <f t="shared" ca="1" si="28"/>
        <v>0</v>
      </c>
      <c r="L116" s="57">
        <f>IF(AND(OR(B116&gt;59.5,B116=59.5),B115&lt;59.5),0,(L115-M115)*(1+'Retirement Planning'!$J$23/12))</f>
        <v>0</v>
      </c>
      <c r="M116" s="59">
        <f>IF(AND($B$10&lt;55,B116&lt;59.5),0,IF(B116&lt;59.5,MAX(0,MIN((($Y116+$AJ116+AA116)*'Retirement Planning'!$J$44)-$G116-$X116,L116)),0))</f>
        <v>0</v>
      </c>
      <c r="N116" s="57">
        <f ca="1">(N115-O115)*(1+'Retirement Planning'!$J$23/12)</f>
        <v>0</v>
      </c>
      <c r="O116" s="59">
        <f ca="1">IF(B116&gt;59.5,MAX(0,MIN((AA116+$Y116+$AJ116)*(IF(D116&lt;(MIN(E104:E115)+1),1,'Retirement Planning'!$J$44))-M116-$G116-$X116-(IF(D116&lt;(MIN(E104:E115)+1),D116,0)),N116)),0)</f>
        <v>0</v>
      </c>
      <c r="P116" s="57">
        <f t="shared" si="40"/>
        <v>0</v>
      </c>
      <c r="Q116" s="58">
        <f t="shared" si="41"/>
        <v>0</v>
      </c>
      <c r="R116" s="57">
        <f ca="1">(R115-S115-T115)*(1+'Retirement Planning'!$J$23/12)</f>
        <v>301002.51568854327</v>
      </c>
      <c r="S116" s="58">
        <f t="shared" ca="1" si="42"/>
        <v>808.33333333333337</v>
      </c>
      <c r="T116" s="273">
        <f t="shared" ca="1" si="29"/>
        <v>-2.0463630789890885E-12</v>
      </c>
      <c r="U116" s="57">
        <f ca="1">(U115-V115)*(1+'Retirement Planning'!$J$23/12)</f>
        <v>243199.34310387325</v>
      </c>
      <c r="V116" s="24">
        <f ca="1">IF(AND($B$10&lt;55,B116&lt;59.5),MIN(U116,MAX(0,(Y116+AA116+AJ116-G116)*'Retirement Planning'!$J$45)),IF(B116&lt;59.5,(MIN(U116,MAX(0,((Y116+AA116+AJ116)-G116-M116)*'Retirement Planning'!$J$45))),MIN(U116,MAX(0,(Y116+AA116+AJ116-G116-M116-K116-X116)*'Retirement Planning'!$J$45))))</f>
        <v>753.61820560078559</v>
      </c>
      <c r="W116" s="7">
        <f t="shared" ca="1" si="30"/>
        <v>2008656.4177069152</v>
      </c>
      <c r="X116" s="7">
        <f>(IF(B116&gt;'Retirement Planning'!$J$34,IF('Retirement Planning'!$J$34=70,'Retirement Planning'!$J$37/12,IF('Retirement Planning'!$J$34=67,'Retirement Planning'!$J$36/12,'Retirement Planning'!$J$35/12)),0))*'Retirement Planning'!$J$38</f>
        <v>1213.6000000000001</v>
      </c>
      <c r="Y116" s="7">
        <f ca="1">'Retirement Planning'!$F$35*((1+'Retirement Planning'!$J$24)^(YEAR('Projected Retirement Drawdown'!C116)-YEAR(TODAY())))</f>
        <v>6836.2512719141469</v>
      </c>
      <c r="Z116" s="7">
        <f ca="1">G116+M116+O116+0.85*X116+V116*'Retirement Planning'!$J$46+T116</f>
        <v>7216.7834974813022</v>
      </c>
      <c r="AA116" s="7">
        <f ca="1">IF(MONTH(C116)=1,(((MIN(MAX(0,((SUM(Z104:Z115)-'Retirement Planning'!$I$53-'Retirement Planning'!$I$54)-'Retirement Planning'!$J$51)*'Retirement Planning'!$I$52))))+(MIN(MAX(0,((SUM(Z104:Z115)-'Retirement Planning'!$I$53-'Retirement Planning'!$I$54)-'Retirement Planning'!$J$50)*'Retirement Planning'!$I$51),('Retirement Planning'!$J$51-'Retirement Planning'!$J$50)*'Retirement Planning'!$I$51))+(MIN(MAX(0,((SUM(Z104:Z115)-'Retirement Planning'!$I$53-'Retirement Planning'!$I$54)-'Retirement Planning'!$J$49)*'Retirement Planning'!$I$50),('Retirement Planning'!$J$50-'Retirement Planning'!$J$49)*'Retirement Planning'!$I$50)+MIN(MAX(0,((SUM(Z104:Z115)-'Retirement Planning'!$I$53-'Retirement Planning'!$I$54)-'Retirement Planning'!$J$48)*'Retirement Planning'!$I$49),('Retirement Planning'!$J$49-'Retirement Planning'!$J$48)*'Retirement Planning'!$I$49)+MIN(((SUM(Z104:Z115)-'Retirement Planning'!$I$53-'Retirement Planning'!$I$54))*'Retirement Planning'!$I$48,('Retirement Planning'!$J$48)*'Retirement Planning'!$I$48))+(IF((SUM(Z104:Z115)-'Retirement Planning'!$I$54-'Retirement Planning'!$I$61)&gt;'Retirement Planning'!$J$59,(SUM(Z104:Z115)-'Retirement Planning'!$I$54-'Retirement Planning'!$I$61-'Retirement Planning'!$J$59)*'Retirement Planning'!$I$60+'Retirement Planning'!$K$59,IF((SUM(Z104:Z115)-'Retirement Planning'!$I$54-'Retirement Planning'!$I$61)&gt;'Retirement Planning'!$J$58,(SUM(Z104:Z115)-'Retirement Planning'!$I$54-'Retirement Planning'!$I$61-'Retirement Planning'!$J$58)*'Retirement Planning'!$I$59+'Retirement Planning'!$K$58,IF((SUM(Z104:Z115)-'Retirement Planning'!$I$54-'Retirement Planning'!$I$61)&gt;'Retirement Planning'!$J$57,(SUM(Z104:Z115)-'Retirement Planning'!$I$54-'Retirement Planning'!$I$61-'Retirement Planning'!$J$57)*'Retirement Planning'!$I$58+'Retirement Planning'!$K$57,IF((SUM(Z104:Z115)-'Retirement Planning'!$I$54-'Retirement Planning'!$I$61)&gt;'Retirement Planning'!$J$56,(SUM(Z104:Z115)-'Retirement Planning'!$I$54-'Retirement Planning'!$I$61-'Retirement Planning'!$J$56)*'Retirement Planning'!$I$57+'Retirement Planning'!$K$56,(SUM(Z104:Z115)-'Retirement Planning'!$I$54-'Retirement Planning'!$I$61)*'Retirement Planning'!$I$56))))))/12,AA115)</f>
        <v>1469.715992778288</v>
      </c>
      <c r="AB116" s="104">
        <f t="shared" ca="1" si="49"/>
        <v>0.20366044524596694</v>
      </c>
      <c r="AC116" s="7">
        <f>IF(B116&lt;65,'Retirement Planning'!$J$28,0)</f>
        <v>0</v>
      </c>
      <c r="AD116" s="7">
        <f>IF(B116&lt;65,'Retirement Planning'!$J$29/12,0)</f>
        <v>0</v>
      </c>
      <c r="AE116" s="22">
        <f>'Retirement Planning'!$J$31/12</f>
        <v>58.333333333333336</v>
      </c>
      <c r="AF116" s="22">
        <f>'Retirement Planning'!$J$32/12</f>
        <v>66.666666666666671</v>
      </c>
      <c r="AG116" s="7">
        <f>IF($B116&gt;64.9,'Retirement Planning'!$J$39/12,0)</f>
        <v>183.33333333333334</v>
      </c>
      <c r="AH116" s="7">
        <f>IF($B116&gt;64.9,'Retirement Planning'!$J$40/12,0)</f>
        <v>258.33333333333331</v>
      </c>
      <c r="AI116" s="7">
        <f>IF($B116&gt;64.9,'Retirement Planning'!$J$41/12,0)</f>
        <v>558.33333333333337</v>
      </c>
      <c r="AJ116" s="7">
        <f t="shared" ca="1" si="31"/>
        <v>316.66666666666663</v>
      </c>
      <c r="AK116" s="3" t="str">
        <f t="shared" ca="1" si="32"/>
        <v>N/A</v>
      </c>
      <c r="AL116" s="6" t="str">
        <f t="shared" ca="1" si="33"/>
        <v>N/A</v>
      </c>
      <c r="AM116" s="7">
        <f t="shared" ca="1" si="34"/>
        <v>4.7748471843078732E-12</v>
      </c>
      <c r="AN116" s="7">
        <f t="shared" ca="1" si="35"/>
        <v>9430.9672646924337</v>
      </c>
      <c r="AO116" s="7">
        <f t="shared" si="36"/>
        <v>1125</v>
      </c>
    </row>
    <row r="117" spans="1:41" x14ac:dyDescent="0.2">
      <c r="A117">
        <f t="shared" si="37"/>
        <v>50</v>
      </c>
      <c r="B117" s="5">
        <f t="shared" si="38"/>
        <v>65.2</v>
      </c>
      <c r="C117" s="56">
        <f t="shared" si="39"/>
        <v>49675</v>
      </c>
      <c r="D117" s="57">
        <f ca="1">IF(AND(B116&lt;59.5,OR(B117&gt;59.5,B117=59.5)),(D116-E116+J116-K116)*(1+'Retirement Planning'!$J$23/12),(D116-E116)*(1+'Retirement Planning'!$J$23/12))</f>
        <v>292838.32076595491</v>
      </c>
      <c r="E117" s="58">
        <f t="shared" ca="1" si="26"/>
        <v>915.50791876392304</v>
      </c>
      <c r="F117" s="57">
        <f ca="1">IF(AND(OR(B117&gt;59.5,B117=59.5),B116&lt;59.5),(F116-G116+L116-M116+N116-O116)*(1+'Retirement Planning'!$J$23/12),(F116-G116)*(1+'Retirement Planning'!$J$23/12))</f>
        <v>1175286.899687039</v>
      </c>
      <c r="G117" s="58">
        <f ca="1">IF(AND($B$10&lt;55,B117&lt;59.5),'Retirement Planning'!$J$25,IF(OR(B117&gt;59.5,B117=59.5),MAX(0,MIN(F117,IF(D117&lt;2500,((Y117+AJ117+AA117))-X117,((Y117+AJ117+AA117)*'Retirement Planning'!$J$44)-X117))),0))</f>
        <v>6014.0940955046663</v>
      </c>
      <c r="H117" s="255">
        <f>IF(MONTH(C117)=1,IF(B117&gt;69.5,F117/(INDEX('Retirement Planning'!D$1:D$264,(160+INT(B117))))/12,0),IF(F117=0,0,H116))</f>
        <v>0</v>
      </c>
      <c r="I117" s="262">
        <f t="shared" ca="1" si="27"/>
        <v>0</v>
      </c>
      <c r="J117" s="254">
        <f ca="1">IF(AND(B116&lt;59.5,OR(B117=59.5,B117&gt;59.5)),0,(J116-K116)*(1+'Retirement Planning'!$J$23/12))</f>
        <v>0</v>
      </c>
      <c r="K117" s="58">
        <f t="shared" ca="1" si="28"/>
        <v>0</v>
      </c>
      <c r="L117" s="57">
        <f>IF(AND(OR(B117&gt;59.5,B117=59.5),B116&lt;59.5),0,(L116-M116)*(1+'Retirement Planning'!$J$23/12))</f>
        <v>0</v>
      </c>
      <c r="M117" s="59">
        <f>IF(AND($B$10&lt;55,B117&lt;59.5),0,IF(B117&lt;59.5,MAX(0,MIN((($Y117+$AJ117+AA117)*'Retirement Planning'!$J$44)-$G117-$X117,L117)),0))</f>
        <v>0</v>
      </c>
      <c r="N117" s="57">
        <f ca="1">(N116-O116)*(1+'Retirement Planning'!$J$23/12)</f>
        <v>0</v>
      </c>
      <c r="O117" s="59">
        <f ca="1">IF(B117&gt;59.5,MAX(0,MIN((AA117+$Y117+$AJ117)*(IF(D117&lt;(MIN(E105:E116)+1),1,'Retirement Planning'!$J$44))-M117-$G117-$X117-(IF(D117&lt;(MIN(E105:E116)+1),D117,0)),N117)),0)</f>
        <v>0</v>
      </c>
      <c r="P117" s="57">
        <f t="shared" si="40"/>
        <v>0</v>
      </c>
      <c r="Q117" s="58">
        <f t="shared" si="41"/>
        <v>0</v>
      </c>
      <c r="R117" s="57">
        <f ca="1">(R116-S116-T116)*(1+'Retirement Planning'!$J$23/12)</f>
        <v>302320.55781355937</v>
      </c>
      <c r="S117" s="58">
        <f t="shared" ca="1" si="42"/>
        <v>808.33333333333337</v>
      </c>
      <c r="T117" s="273">
        <f t="shared" ca="1" si="29"/>
        <v>-2.2737367544323206E-13</v>
      </c>
      <c r="U117" s="57">
        <f ca="1">(U116-V116)*(1+'Retirement Planning'!$J$23/12)</f>
        <v>244163.04878296854</v>
      </c>
      <c r="V117" s="24">
        <f ca="1">IF(AND($B$10&lt;55,B117&lt;59.5),MIN(U117,MAX(0,(Y117+AA117+AJ117-G117)*'Retirement Planning'!$J$45)),IF(B117&lt;59.5,(MIN(U117,MAX(0,((Y117+AA117+AJ117)-G117-M117)*'Retirement Planning'!$J$45))),MIN(U117,MAX(0,(Y117+AA117+AJ117-G117-M117-K117-X117)*'Retirement Planning'!$J$45))))</f>
        <v>779.87711598408271</v>
      </c>
      <c r="W117" s="7">
        <f t="shared" ca="1" si="30"/>
        <v>2014608.8270495217</v>
      </c>
      <c r="X117" s="7">
        <f>(IF(B117&gt;'Retirement Planning'!$J$34,IF('Retirement Planning'!$J$34=70,'Retirement Planning'!$J$37/12,IF('Retirement Planning'!$J$34=67,'Retirement Planning'!$J$36/12,'Retirement Planning'!$J$35/12)),0))*'Retirement Planning'!$J$38</f>
        <v>1213.6000000000001</v>
      </c>
      <c r="Y117" s="7">
        <f ca="1">'Retirement Planning'!$F$35*((1+'Retirement Planning'!$J$24)^(YEAR('Projected Retirement Drawdown'!C117)-YEAR(TODAY())))</f>
        <v>7075.5200664311405</v>
      </c>
      <c r="Z117" s="7">
        <f ca="1">G117+M117+O117+0.85*X117+V117*'Retirement Planning'!$J$46+T117</f>
        <v>7474.586509295912</v>
      </c>
      <c r="AA117" s="7">
        <f ca="1">IF(MONTH(C117)=1,(((MIN(MAX(0,((SUM(Z105:Z116)-'Retirement Planning'!$I$53-'Retirement Planning'!$I$54)-'Retirement Planning'!$J$51)*'Retirement Planning'!$I$52))))+(MIN(MAX(0,((SUM(Z105:Z116)-'Retirement Planning'!$I$53-'Retirement Planning'!$I$54)-'Retirement Planning'!$J$50)*'Retirement Planning'!$I$51),('Retirement Planning'!$J$51-'Retirement Planning'!$J$50)*'Retirement Planning'!$I$51))+(MIN(MAX(0,((SUM(Z105:Z116)-'Retirement Planning'!$I$53-'Retirement Planning'!$I$54)-'Retirement Planning'!$J$49)*'Retirement Planning'!$I$50),('Retirement Planning'!$J$50-'Retirement Planning'!$J$49)*'Retirement Planning'!$I$50)+MIN(MAX(0,((SUM(Z105:Z116)-'Retirement Planning'!$I$53-'Retirement Planning'!$I$54)-'Retirement Planning'!$J$48)*'Retirement Planning'!$I$49),('Retirement Planning'!$J$49-'Retirement Planning'!$J$48)*'Retirement Planning'!$I$49)+MIN(((SUM(Z105:Z116)-'Retirement Planning'!$I$53-'Retirement Planning'!$I$54))*'Retirement Planning'!$I$48,('Retirement Planning'!$J$48)*'Retirement Planning'!$I$48))+(IF((SUM(Z105:Z116)-'Retirement Planning'!$I$54-'Retirement Planning'!$I$61)&gt;'Retirement Planning'!$J$59,(SUM(Z105:Z116)-'Retirement Planning'!$I$54-'Retirement Planning'!$I$61-'Retirement Planning'!$J$59)*'Retirement Planning'!$I$60+'Retirement Planning'!$K$59,IF((SUM(Z105:Z116)-'Retirement Planning'!$I$54-'Retirement Planning'!$I$61)&gt;'Retirement Planning'!$J$58,(SUM(Z105:Z116)-'Retirement Planning'!$I$54-'Retirement Planning'!$I$61-'Retirement Planning'!$J$58)*'Retirement Planning'!$I$59+'Retirement Planning'!$K$58,IF((SUM(Z105:Z116)-'Retirement Planning'!$I$54-'Retirement Planning'!$I$61)&gt;'Retirement Planning'!$J$57,(SUM(Z105:Z116)-'Retirement Planning'!$I$54-'Retirement Planning'!$I$61-'Retirement Planning'!$J$57)*'Retirement Planning'!$I$58+'Retirement Planning'!$K$57,IF((SUM(Z105:Z116)-'Retirement Planning'!$I$54-'Retirement Planning'!$I$61)&gt;'Retirement Planning'!$J$56,(SUM(Z105:Z116)-'Retirement Planning'!$I$54-'Retirement Planning'!$I$61-'Retirement Planning'!$J$56)*'Retirement Planning'!$I$57+'Retirement Planning'!$K$56,(SUM(Z105:Z116)-'Retirement Planning'!$I$54-'Retirement Planning'!$I$61)*'Retirement Planning'!$I$56))))))/12,AA116)</f>
        <v>1530.8923971548663</v>
      </c>
      <c r="AB117" s="104">
        <f t="shared" ref="AB117" ca="1" si="50">SUM(AA117:AA128)/SUM(Z105:Z116)</f>
        <v>0.206160704528911</v>
      </c>
      <c r="AC117" s="7">
        <f>IF(B117&lt;65,'Retirement Planning'!$J$28,0)</f>
        <v>0</v>
      </c>
      <c r="AD117" s="7">
        <f>IF(B117&lt;65,'Retirement Planning'!$J$29/12,0)</f>
        <v>0</v>
      </c>
      <c r="AE117" s="22">
        <f>'Retirement Planning'!$J$31/12</f>
        <v>58.333333333333336</v>
      </c>
      <c r="AF117" s="22">
        <f>'Retirement Planning'!$J$32/12</f>
        <v>66.666666666666671</v>
      </c>
      <c r="AG117" s="7">
        <f>IF($B117&gt;64.9,'Retirement Planning'!$J$39/12,0)</f>
        <v>183.33333333333334</v>
      </c>
      <c r="AH117" s="7">
        <f>IF($B117&gt;64.9,'Retirement Planning'!$J$40/12,0)</f>
        <v>258.33333333333331</v>
      </c>
      <c r="AI117" s="7">
        <f>IF($B117&gt;64.9,'Retirement Planning'!$J$41/12,0)</f>
        <v>558.33333333333337</v>
      </c>
      <c r="AJ117" s="7">
        <f t="shared" ca="1" si="31"/>
        <v>316.66666666666663</v>
      </c>
      <c r="AK117" s="3" t="str">
        <f t="shared" ca="1" si="32"/>
        <v>N/A</v>
      </c>
      <c r="AL117" s="6" t="str">
        <f t="shared" ca="1" si="33"/>
        <v>N/A</v>
      </c>
      <c r="AM117" s="7">
        <f t="shared" ca="1" si="34"/>
        <v>2.8421709430404007E-12</v>
      </c>
      <c r="AN117" s="7">
        <f t="shared" ca="1" si="35"/>
        <v>9731.4124635860062</v>
      </c>
      <c r="AO117" s="7">
        <f t="shared" si="36"/>
        <v>1125</v>
      </c>
    </row>
    <row r="118" spans="1:41" x14ac:dyDescent="0.2">
      <c r="A118">
        <f t="shared" si="37"/>
        <v>50</v>
      </c>
      <c r="B118" s="5">
        <f t="shared" si="38"/>
        <v>65.3</v>
      </c>
      <c r="C118" s="56">
        <f t="shared" si="39"/>
        <v>49706</v>
      </c>
      <c r="D118" s="57">
        <f ca="1">IF(AND(B117&lt;59.5,OR(B118&gt;59.5,B118=59.5)),(D117-E117+J117-K117)*(1+'Retirement Planning'!$J$23/12),(D117-E117)*(1+'Retirement Planning'!$J$23/12))</f>
        <v>293990.59943819192</v>
      </c>
      <c r="E118" s="58">
        <f t="shared" ca="1" si="26"/>
        <v>915.50791876392304</v>
      </c>
      <c r="F118" s="57">
        <f ca="1">IF(AND(OR(B118&gt;59.5,B118=59.5),B117&lt;59.5),(F117-G117+L117-M117+N117-O117)*(1+'Retirement Planning'!$J$23/12),(F117-G117)*(1+'Retirement Planning'!$J$23/12))</f>
        <v>1177555.1546311411</v>
      </c>
      <c r="G118" s="58">
        <f ca="1">IF(AND($B$10&lt;55,B118&lt;59.5),'Retirement Planning'!$J$25,IF(OR(B118&gt;59.5,B118=59.5),MAX(0,MIN(F118,IF(D118&lt;2500,((Y118+AJ118+AA118))-X118,((Y118+AJ118+AA118)*'Retirement Planning'!$J$44)-X118))),0))</f>
        <v>6014.0940955046663</v>
      </c>
      <c r="H118" s="255">
        <f ca="1">IF(MONTH(C118)=1,IF(B118&gt;69.5,F118/(INDEX('Retirement Planning'!D$1:D$264,(160+INT(B118))))/12,0),IF(F118=0,0,H117))</f>
        <v>0</v>
      </c>
      <c r="I118" s="262">
        <f t="shared" ca="1" si="27"/>
        <v>0</v>
      </c>
      <c r="J118" s="254">
        <f ca="1">IF(AND(B117&lt;59.5,OR(B118=59.5,B118&gt;59.5)),0,(J117-K117)*(1+'Retirement Planning'!$J$23/12))</f>
        <v>0</v>
      </c>
      <c r="K118" s="58">
        <f t="shared" ca="1" si="28"/>
        <v>0</v>
      </c>
      <c r="L118" s="57">
        <f>IF(AND(OR(B118&gt;59.5,B118=59.5),B117&lt;59.5),0,(L117-M117)*(1+'Retirement Planning'!$J$23/12))</f>
        <v>0</v>
      </c>
      <c r="M118" s="59">
        <f>IF(AND($B$10&lt;55,B118&lt;59.5),0,IF(B118&lt;59.5,MAX(0,MIN((($Y118+$AJ118+AA118)*'Retirement Planning'!$J$44)-$G118-$X118,L118)),0))</f>
        <v>0</v>
      </c>
      <c r="N118" s="57">
        <f ca="1">(N117-O117)*(1+'Retirement Planning'!$J$23/12)</f>
        <v>0</v>
      </c>
      <c r="O118" s="59">
        <f ca="1">IF(B118&gt;59.5,MAX(0,MIN((AA118+$Y118+$AJ118)*(IF(D118&lt;(MIN(E106:E117)+1),1,'Retirement Planning'!$J$44))-M118-$G118-$X118-(IF(D118&lt;(MIN(E106:E117)+1),D118,0)),N118)),0)</f>
        <v>0</v>
      </c>
      <c r="P118" s="57">
        <f t="shared" si="40"/>
        <v>0</v>
      </c>
      <c r="Q118" s="58">
        <f t="shared" si="41"/>
        <v>0</v>
      </c>
      <c r="R118" s="57">
        <f ca="1">(R117-S117-T117)*(1+'Retirement Planning'!$J$23/12)</f>
        <v>303647.93607029429</v>
      </c>
      <c r="S118" s="58">
        <f t="shared" ca="1" si="42"/>
        <v>808.33333333333337</v>
      </c>
      <c r="T118" s="273">
        <f t="shared" ca="1" si="29"/>
        <v>-2.2737367544323206E-13</v>
      </c>
      <c r="U118" s="57">
        <f ca="1">(U117-V117)*(1+'Retirement Planning'!$J$23/12)</f>
        <v>245107.13579962563</v>
      </c>
      <c r="V118" s="24">
        <f ca="1">IF(AND($B$10&lt;55,B118&lt;59.5),MIN(U118,MAX(0,(Y118+AA118+AJ118-G118)*'Retirement Planning'!$J$45)),IF(B118&lt;59.5,(MIN(U118,MAX(0,((Y118+AA118+AJ118)-G118-M118)*'Retirement Planning'!$J$45))),MIN(U118,MAX(0,(Y118+AA118+AJ118-G118-M118-K118-X118)*'Retirement Planning'!$J$45))))</f>
        <v>779.87711598408271</v>
      </c>
      <c r="W118" s="7">
        <f t="shared" ca="1" si="30"/>
        <v>2020300.825939253</v>
      </c>
      <c r="X118" s="7">
        <f>(IF(B118&gt;'Retirement Planning'!$J$34,IF('Retirement Planning'!$J$34=70,'Retirement Planning'!$J$37/12,IF('Retirement Planning'!$J$34=67,'Retirement Planning'!$J$36/12,'Retirement Planning'!$J$35/12)),0))*'Retirement Planning'!$J$38</f>
        <v>1213.6000000000001</v>
      </c>
      <c r="Y118" s="7">
        <f ca="1">'Retirement Planning'!$F$35*((1+'Retirement Planning'!$J$24)^(YEAR('Projected Retirement Drawdown'!C118)-YEAR(TODAY())))</f>
        <v>7075.5200664311405</v>
      </c>
      <c r="Z118" s="7">
        <f ca="1">G118+M118+O118+0.85*X118+V118*'Retirement Planning'!$J$46+T118</f>
        <v>7474.586509295912</v>
      </c>
      <c r="AA118" s="7">
        <f ca="1">IF(MONTH(C118)=1,(((MIN(MAX(0,((SUM(Z106:Z117)-'Retirement Planning'!$I$53-'Retirement Planning'!$I$54)-'Retirement Planning'!$J$51)*'Retirement Planning'!$I$52))))+(MIN(MAX(0,((SUM(Z106:Z117)-'Retirement Planning'!$I$53-'Retirement Planning'!$I$54)-'Retirement Planning'!$J$50)*'Retirement Planning'!$I$51),('Retirement Planning'!$J$51-'Retirement Planning'!$J$50)*'Retirement Planning'!$I$51))+(MIN(MAX(0,((SUM(Z106:Z117)-'Retirement Planning'!$I$53-'Retirement Planning'!$I$54)-'Retirement Planning'!$J$49)*'Retirement Planning'!$I$50),('Retirement Planning'!$J$50-'Retirement Planning'!$J$49)*'Retirement Planning'!$I$50)+MIN(MAX(0,((SUM(Z106:Z117)-'Retirement Planning'!$I$53-'Retirement Planning'!$I$54)-'Retirement Planning'!$J$48)*'Retirement Planning'!$I$49),('Retirement Planning'!$J$49-'Retirement Planning'!$J$48)*'Retirement Planning'!$I$49)+MIN(((SUM(Z106:Z117)-'Retirement Planning'!$I$53-'Retirement Planning'!$I$54))*'Retirement Planning'!$I$48,('Retirement Planning'!$J$48)*'Retirement Planning'!$I$48))+(IF((SUM(Z106:Z117)-'Retirement Planning'!$I$54-'Retirement Planning'!$I$61)&gt;'Retirement Planning'!$J$59,(SUM(Z106:Z117)-'Retirement Planning'!$I$54-'Retirement Planning'!$I$61-'Retirement Planning'!$J$59)*'Retirement Planning'!$I$60+'Retirement Planning'!$K$59,IF((SUM(Z106:Z117)-'Retirement Planning'!$I$54-'Retirement Planning'!$I$61)&gt;'Retirement Planning'!$J$58,(SUM(Z106:Z117)-'Retirement Planning'!$I$54-'Retirement Planning'!$I$61-'Retirement Planning'!$J$58)*'Retirement Planning'!$I$59+'Retirement Planning'!$K$58,IF((SUM(Z106:Z117)-'Retirement Planning'!$I$54-'Retirement Planning'!$I$61)&gt;'Retirement Planning'!$J$57,(SUM(Z106:Z117)-'Retirement Planning'!$I$54-'Retirement Planning'!$I$61-'Retirement Planning'!$J$57)*'Retirement Planning'!$I$58+'Retirement Planning'!$K$57,IF((SUM(Z106:Z117)-'Retirement Planning'!$I$54-'Retirement Planning'!$I$61)&gt;'Retirement Planning'!$J$56,(SUM(Z106:Z117)-'Retirement Planning'!$I$54-'Retirement Planning'!$I$61-'Retirement Planning'!$J$56)*'Retirement Planning'!$I$57+'Retirement Planning'!$K$56,(SUM(Z106:Z117)-'Retirement Planning'!$I$54-'Retirement Planning'!$I$61)*'Retirement Planning'!$I$56))))))/12,AA117)</f>
        <v>1530.8923971548663</v>
      </c>
      <c r="AB118" s="104">
        <f t="shared" ref="AB118:AB181" ca="1" si="51">AB117</f>
        <v>0.206160704528911</v>
      </c>
      <c r="AC118" s="7">
        <f>IF(B118&lt;65,'Retirement Planning'!$J$28,0)</f>
        <v>0</v>
      </c>
      <c r="AD118" s="7">
        <f>IF(B118&lt;65,'Retirement Planning'!$J$29/12,0)</f>
        <v>0</v>
      </c>
      <c r="AE118" s="22">
        <f>'Retirement Planning'!$J$31/12</f>
        <v>58.333333333333336</v>
      </c>
      <c r="AF118" s="22">
        <f>'Retirement Planning'!$J$32/12</f>
        <v>66.666666666666671</v>
      </c>
      <c r="AG118" s="7">
        <f>IF($B118&gt;64.9,'Retirement Planning'!$J$39/12,0)</f>
        <v>183.33333333333334</v>
      </c>
      <c r="AH118" s="7">
        <f>IF($B118&gt;64.9,'Retirement Planning'!$J$40/12,0)</f>
        <v>258.33333333333331</v>
      </c>
      <c r="AI118" s="7">
        <f>IF($B118&gt;64.9,'Retirement Planning'!$J$41/12,0)</f>
        <v>558.33333333333337</v>
      </c>
      <c r="AJ118" s="7">
        <f t="shared" ca="1" si="31"/>
        <v>316.66666666666663</v>
      </c>
      <c r="AK118" s="3" t="str">
        <f t="shared" ca="1" si="32"/>
        <v>N/A</v>
      </c>
      <c r="AL118" s="6" t="str">
        <f t="shared" ca="1" si="33"/>
        <v>N/A</v>
      </c>
      <c r="AM118" s="7">
        <f t="shared" ca="1" si="34"/>
        <v>2.8421709430404007E-12</v>
      </c>
      <c r="AN118" s="7">
        <f t="shared" ca="1" si="35"/>
        <v>9731.4124635860062</v>
      </c>
      <c r="AO118" s="7">
        <f t="shared" si="36"/>
        <v>1125</v>
      </c>
    </row>
    <row r="119" spans="1:41" x14ac:dyDescent="0.2">
      <c r="A119">
        <f t="shared" si="37"/>
        <v>50</v>
      </c>
      <c r="B119" s="5">
        <f t="shared" si="38"/>
        <v>65.400000000000006</v>
      </c>
      <c r="C119" s="56">
        <f t="shared" si="39"/>
        <v>49735</v>
      </c>
      <c r="D119" s="57">
        <f ca="1">IF(AND(B118&lt;59.5,OR(B119&gt;59.5,B119=59.5)),(D118-E118+J118-K118)*(1+'Retirement Planning'!$J$23/12),(D118-E118)*(1+'Retirement Planning'!$J$23/12))</f>
        <v>295151.04008435732</v>
      </c>
      <c r="E119" s="58">
        <f t="shared" ca="1" si="26"/>
        <v>915.50791876392304</v>
      </c>
      <c r="F119" s="57">
        <f ca="1">IF(AND(OR(B119&gt;59.5,B119=59.5),B118&lt;59.5),(F118-G118+L118-M118+N118-O118)*(1+'Retirement Planning'!$J$23/12),(F118-G118)*(1+'Retirement Planning'!$J$23/12))</f>
        <v>1179839.4763810972</v>
      </c>
      <c r="G119" s="58">
        <f ca="1">IF(AND($B$10&lt;55,B119&lt;59.5),'Retirement Planning'!$J$25,IF(OR(B119&gt;59.5,B119=59.5),MAX(0,MIN(F119,IF(D119&lt;2500,((Y119+AJ119+AA119))-X119,((Y119+AJ119+AA119)*'Retirement Planning'!$J$44)-X119))),0))</f>
        <v>6014.0940955046663</v>
      </c>
      <c r="H119" s="255">
        <f ca="1">IF(MONTH(C119)=1,IF(B119&gt;69.5,F119/(INDEX('Retirement Planning'!D$1:D$264,(160+INT(B119))))/12,0),IF(F119=0,0,H118))</f>
        <v>0</v>
      </c>
      <c r="I119" s="262">
        <f t="shared" ca="1" si="27"/>
        <v>0</v>
      </c>
      <c r="J119" s="254">
        <f ca="1">IF(AND(B118&lt;59.5,OR(B119=59.5,B119&gt;59.5)),0,(J118-K118)*(1+'Retirement Planning'!$J$23/12))</f>
        <v>0</v>
      </c>
      <c r="K119" s="58">
        <f t="shared" ca="1" si="28"/>
        <v>0</v>
      </c>
      <c r="L119" s="57">
        <f>IF(AND(OR(B119&gt;59.5,B119=59.5),B118&lt;59.5),0,(L118-M118)*(1+'Retirement Planning'!$J$23/12))</f>
        <v>0</v>
      </c>
      <c r="M119" s="59">
        <f>IF(AND($B$10&lt;55,B119&lt;59.5),0,IF(B119&lt;59.5,MAX(0,MIN((($Y119+$AJ119+AA119)*'Retirement Planning'!$J$44)-$G119-$X119,L119)),0))</f>
        <v>0</v>
      </c>
      <c r="N119" s="57">
        <f ca="1">(N118-O118)*(1+'Retirement Planning'!$J$23/12)</f>
        <v>0</v>
      </c>
      <c r="O119" s="59">
        <f ca="1">IF(B119&gt;59.5,MAX(0,MIN((AA119+$Y119+$AJ119)*(IF(D119&lt;(MIN(E107:E118)+1),1,'Retirement Planning'!$J$44))-M119-$G119-$X119-(IF(D119&lt;(MIN(E107:E118)+1),D119,0)),N119)),0)</f>
        <v>0</v>
      </c>
      <c r="P119" s="57">
        <f t="shared" si="40"/>
        <v>0</v>
      </c>
      <c r="Q119" s="58">
        <f t="shared" si="41"/>
        <v>0</v>
      </c>
      <c r="R119" s="57">
        <f ca="1">(R118-S118-T118)*(1+'Retirement Planning'!$J$23/12)</f>
        <v>304984.71658968111</v>
      </c>
      <c r="S119" s="58">
        <f t="shared" ca="1" si="42"/>
        <v>808.33333333333337</v>
      </c>
      <c r="T119" s="273">
        <f t="shared" ca="1" si="29"/>
        <v>-2.2737367544323206E-13</v>
      </c>
      <c r="U119" s="57">
        <f ca="1">(U118-V118)*(1+'Retirement Planning'!$J$23/12)</f>
        <v>246057.91009931735</v>
      </c>
      <c r="V119" s="24">
        <f ca="1">IF(AND($B$10&lt;55,B119&lt;59.5),MIN(U119,MAX(0,(Y119+AA119+AJ119-G119)*'Retirement Planning'!$J$45)),IF(B119&lt;59.5,(MIN(U119,MAX(0,((Y119+AA119+AJ119)-G119-M119)*'Retirement Planning'!$J$45))),MIN(U119,MAX(0,(Y119+AA119+AJ119-G119-M119-K119-X119)*'Retirement Planning'!$J$45))))</f>
        <v>779.87711598408271</v>
      </c>
      <c r="W119" s="7">
        <f t="shared" ca="1" si="30"/>
        <v>2026033.143154453</v>
      </c>
      <c r="X119" s="7">
        <f>(IF(B119&gt;'Retirement Planning'!$J$34,IF('Retirement Planning'!$J$34=70,'Retirement Planning'!$J$37/12,IF('Retirement Planning'!$J$34=67,'Retirement Planning'!$J$36/12,'Retirement Planning'!$J$35/12)),0))*'Retirement Planning'!$J$38</f>
        <v>1213.6000000000001</v>
      </c>
      <c r="Y119" s="7">
        <f ca="1">'Retirement Planning'!$F$35*((1+'Retirement Planning'!$J$24)^(YEAR('Projected Retirement Drawdown'!C119)-YEAR(TODAY())))</f>
        <v>7075.5200664311405</v>
      </c>
      <c r="Z119" s="7">
        <f ca="1">G119+M119+O119+0.85*X119+V119*'Retirement Planning'!$J$46+T119</f>
        <v>7474.586509295912</v>
      </c>
      <c r="AA119" s="7">
        <f ca="1">IF(MONTH(C119)=1,(((MIN(MAX(0,((SUM(Z107:Z118)-'Retirement Planning'!$I$53-'Retirement Planning'!$I$54)-'Retirement Planning'!$J$51)*'Retirement Planning'!$I$52))))+(MIN(MAX(0,((SUM(Z107:Z118)-'Retirement Planning'!$I$53-'Retirement Planning'!$I$54)-'Retirement Planning'!$J$50)*'Retirement Planning'!$I$51),('Retirement Planning'!$J$51-'Retirement Planning'!$J$50)*'Retirement Planning'!$I$51))+(MIN(MAX(0,((SUM(Z107:Z118)-'Retirement Planning'!$I$53-'Retirement Planning'!$I$54)-'Retirement Planning'!$J$49)*'Retirement Planning'!$I$50),('Retirement Planning'!$J$50-'Retirement Planning'!$J$49)*'Retirement Planning'!$I$50)+MIN(MAX(0,((SUM(Z107:Z118)-'Retirement Planning'!$I$53-'Retirement Planning'!$I$54)-'Retirement Planning'!$J$48)*'Retirement Planning'!$I$49),('Retirement Planning'!$J$49-'Retirement Planning'!$J$48)*'Retirement Planning'!$I$49)+MIN(((SUM(Z107:Z118)-'Retirement Planning'!$I$53-'Retirement Planning'!$I$54))*'Retirement Planning'!$I$48,('Retirement Planning'!$J$48)*'Retirement Planning'!$I$48))+(IF((SUM(Z107:Z118)-'Retirement Planning'!$I$54-'Retirement Planning'!$I$61)&gt;'Retirement Planning'!$J$59,(SUM(Z107:Z118)-'Retirement Planning'!$I$54-'Retirement Planning'!$I$61-'Retirement Planning'!$J$59)*'Retirement Planning'!$I$60+'Retirement Planning'!$K$59,IF((SUM(Z107:Z118)-'Retirement Planning'!$I$54-'Retirement Planning'!$I$61)&gt;'Retirement Planning'!$J$58,(SUM(Z107:Z118)-'Retirement Planning'!$I$54-'Retirement Planning'!$I$61-'Retirement Planning'!$J$58)*'Retirement Planning'!$I$59+'Retirement Planning'!$K$58,IF((SUM(Z107:Z118)-'Retirement Planning'!$I$54-'Retirement Planning'!$I$61)&gt;'Retirement Planning'!$J$57,(SUM(Z107:Z118)-'Retirement Planning'!$I$54-'Retirement Planning'!$I$61-'Retirement Planning'!$J$57)*'Retirement Planning'!$I$58+'Retirement Planning'!$K$57,IF((SUM(Z107:Z118)-'Retirement Planning'!$I$54-'Retirement Planning'!$I$61)&gt;'Retirement Planning'!$J$56,(SUM(Z107:Z118)-'Retirement Planning'!$I$54-'Retirement Planning'!$I$61-'Retirement Planning'!$J$56)*'Retirement Planning'!$I$57+'Retirement Planning'!$K$56,(SUM(Z107:Z118)-'Retirement Planning'!$I$54-'Retirement Planning'!$I$61)*'Retirement Planning'!$I$56))))))/12,AA118)</f>
        <v>1530.8923971548663</v>
      </c>
      <c r="AB119" s="104">
        <f t="shared" ca="1" si="49"/>
        <v>0.206160704528911</v>
      </c>
      <c r="AC119" s="7">
        <f>IF(B119&lt;65,'Retirement Planning'!$J$28,0)</f>
        <v>0</v>
      </c>
      <c r="AD119" s="7">
        <f>IF(B119&lt;65,'Retirement Planning'!$J$29/12,0)</f>
        <v>0</v>
      </c>
      <c r="AE119" s="22">
        <f>'Retirement Planning'!$J$31/12</f>
        <v>58.333333333333336</v>
      </c>
      <c r="AF119" s="22">
        <f>'Retirement Planning'!$J$32/12</f>
        <v>66.666666666666671</v>
      </c>
      <c r="AG119" s="7">
        <f>IF($B119&gt;64.9,'Retirement Planning'!$J$39/12,0)</f>
        <v>183.33333333333334</v>
      </c>
      <c r="AH119" s="7">
        <f>IF($B119&gt;64.9,'Retirement Planning'!$J$40/12,0)</f>
        <v>258.33333333333331</v>
      </c>
      <c r="AI119" s="7">
        <f>IF($B119&gt;64.9,'Retirement Planning'!$J$41/12,0)</f>
        <v>558.33333333333337</v>
      </c>
      <c r="AJ119" s="7">
        <f t="shared" ca="1" si="31"/>
        <v>316.66666666666663</v>
      </c>
      <c r="AK119" s="3" t="str">
        <f t="shared" ca="1" si="32"/>
        <v>N/A</v>
      </c>
      <c r="AL119" s="6" t="str">
        <f t="shared" ca="1" si="33"/>
        <v>N/A</v>
      </c>
      <c r="AM119" s="7">
        <f t="shared" ca="1" si="34"/>
        <v>2.8421709430404007E-12</v>
      </c>
      <c r="AN119" s="7">
        <f t="shared" ca="1" si="35"/>
        <v>9731.4124635860062</v>
      </c>
      <c r="AO119" s="7">
        <f t="shared" si="36"/>
        <v>1125</v>
      </c>
    </row>
    <row r="120" spans="1:41" x14ac:dyDescent="0.2">
      <c r="A120">
        <f t="shared" si="37"/>
        <v>50</v>
      </c>
      <c r="B120" s="5">
        <f t="shared" si="38"/>
        <v>65.5</v>
      </c>
      <c r="C120" s="56">
        <f t="shared" si="39"/>
        <v>49766</v>
      </c>
      <c r="D120" s="57">
        <f ca="1">IF(AND(B119&lt;59.5,OR(B120&gt;59.5,B120=59.5)),(D119-E119+J119-K119)*(1+'Retirement Planning'!$J$23/12),(D119-E119)*(1+'Retirement Planning'!$J$23/12))</f>
        <v>296319.700518433</v>
      </c>
      <c r="E120" s="58">
        <f t="shared" ca="1" si="26"/>
        <v>915.50791876392304</v>
      </c>
      <c r="F120" s="57">
        <f ca="1">IF(AND(OR(B120&gt;59.5,B120=59.5),B119&lt;59.5),(F119-G119+L119-M119+N119-O119)*(1+'Retirement Planning'!$J$23/12),(F119-G119)*(1+'Retirement Planning'!$J$23/12))</f>
        <v>1182139.9787434489</v>
      </c>
      <c r="G120" s="58">
        <f ca="1">IF(AND($B$10&lt;55,B120&lt;59.5),'Retirement Planning'!$J$25,IF(OR(B120&gt;59.5,B120=59.5),MAX(0,MIN(F120,IF(D120&lt;2500,((Y120+AJ120+AA120))-X120,((Y120+AJ120+AA120)*'Retirement Planning'!$J$44)-X120))),0))</f>
        <v>6014.0940955046663</v>
      </c>
      <c r="H120" s="255">
        <f ca="1">IF(MONTH(C120)=1,IF(B120&gt;69.5,F120/(INDEX('Retirement Planning'!D$1:D$264,(160+INT(B120))))/12,0),IF(F120=0,0,H119))</f>
        <v>0</v>
      </c>
      <c r="I120" s="262">
        <f t="shared" ca="1" si="27"/>
        <v>0</v>
      </c>
      <c r="J120" s="254">
        <f ca="1">IF(AND(B119&lt;59.5,OR(B120=59.5,B120&gt;59.5)),0,(J119-K119)*(1+'Retirement Planning'!$J$23/12))</f>
        <v>0</v>
      </c>
      <c r="K120" s="58">
        <f t="shared" ca="1" si="28"/>
        <v>0</v>
      </c>
      <c r="L120" s="57">
        <f>IF(AND(OR(B120&gt;59.5,B120=59.5),B119&lt;59.5),0,(L119-M119)*(1+'Retirement Planning'!$J$23/12))</f>
        <v>0</v>
      </c>
      <c r="M120" s="59">
        <f>IF(AND($B$10&lt;55,B120&lt;59.5),0,IF(B120&lt;59.5,MAX(0,MIN((($Y120+$AJ120+AA120)*'Retirement Planning'!$J$44)-$G120-$X120,L120)),0))</f>
        <v>0</v>
      </c>
      <c r="N120" s="57">
        <f ca="1">(N119-O119)*(1+'Retirement Planning'!$J$23/12)</f>
        <v>0</v>
      </c>
      <c r="O120" s="59">
        <f ca="1">IF(B120&gt;59.5,MAX(0,MIN((AA120+$Y120+$AJ120)*(IF(D120&lt;(MIN(E108:E119)+1),1,'Retirement Planning'!$J$44))-M120-$G120-$X120-(IF(D120&lt;(MIN(E108:E119)+1),D120,0)),N120)),0)</f>
        <v>0</v>
      </c>
      <c r="P120" s="57">
        <f t="shared" si="40"/>
        <v>0</v>
      </c>
      <c r="Q120" s="58">
        <f t="shared" si="41"/>
        <v>0</v>
      </c>
      <c r="R120" s="57">
        <f ca="1">(R119-S119-T119)*(1+'Retirement Planning'!$J$23/12)</f>
        <v>306330.96597108024</v>
      </c>
      <c r="S120" s="58">
        <f t="shared" ca="1" si="42"/>
        <v>808.33333333333337</v>
      </c>
      <c r="T120" s="273">
        <f t="shared" ca="1" si="29"/>
        <v>-2.2737367544323206E-13</v>
      </c>
      <c r="U120" s="57">
        <f ca="1">(U119-V119)*(1+'Retirement Planning'!$J$23/12)</f>
        <v>247015.41905029854</v>
      </c>
      <c r="V120" s="24">
        <f ca="1">IF(AND($B$10&lt;55,B120&lt;59.5),MIN(U120,MAX(0,(Y120+AA120+AJ120-G120)*'Retirement Planning'!$J$45)),IF(B120&lt;59.5,(MIN(U120,MAX(0,((Y120+AA120+AJ120)-G120-M120)*'Retirement Planning'!$J$45))),MIN(U120,MAX(0,(Y120+AA120+AJ120-G120-M120-K120-X120)*'Retirement Planning'!$J$45))))</f>
        <v>779.87711598408271</v>
      </c>
      <c r="W120" s="7">
        <f t="shared" ca="1" si="30"/>
        <v>2031806.0642832606</v>
      </c>
      <c r="X120" s="7">
        <f>(IF(B120&gt;'Retirement Planning'!$J$34,IF('Retirement Planning'!$J$34=70,'Retirement Planning'!$J$37/12,IF('Retirement Planning'!$J$34=67,'Retirement Planning'!$J$36/12,'Retirement Planning'!$J$35/12)),0))*'Retirement Planning'!$J$38</f>
        <v>1213.6000000000001</v>
      </c>
      <c r="Y120" s="7">
        <f ca="1">'Retirement Planning'!$F$35*((1+'Retirement Planning'!$J$24)^(YEAR('Projected Retirement Drawdown'!C120)-YEAR(TODAY())))</f>
        <v>7075.5200664311405</v>
      </c>
      <c r="Z120" s="7">
        <f ca="1">G120+M120+O120+0.85*X120+V120*'Retirement Planning'!$J$46+T120</f>
        <v>7474.586509295912</v>
      </c>
      <c r="AA120" s="7">
        <f ca="1">IF(MONTH(C120)=1,(((MIN(MAX(0,((SUM(Z108:Z119)-'Retirement Planning'!$I$53-'Retirement Planning'!$I$54)-'Retirement Planning'!$J$51)*'Retirement Planning'!$I$52))))+(MIN(MAX(0,((SUM(Z108:Z119)-'Retirement Planning'!$I$53-'Retirement Planning'!$I$54)-'Retirement Planning'!$J$50)*'Retirement Planning'!$I$51),('Retirement Planning'!$J$51-'Retirement Planning'!$J$50)*'Retirement Planning'!$I$51))+(MIN(MAX(0,((SUM(Z108:Z119)-'Retirement Planning'!$I$53-'Retirement Planning'!$I$54)-'Retirement Planning'!$J$49)*'Retirement Planning'!$I$50),('Retirement Planning'!$J$50-'Retirement Planning'!$J$49)*'Retirement Planning'!$I$50)+MIN(MAX(0,((SUM(Z108:Z119)-'Retirement Planning'!$I$53-'Retirement Planning'!$I$54)-'Retirement Planning'!$J$48)*'Retirement Planning'!$I$49),('Retirement Planning'!$J$49-'Retirement Planning'!$J$48)*'Retirement Planning'!$I$49)+MIN(((SUM(Z108:Z119)-'Retirement Planning'!$I$53-'Retirement Planning'!$I$54))*'Retirement Planning'!$I$48,('Retirement Planning'!$J$48)*'Retirement Planning'!$I$48))+(IF((SUM(Z108:Z119)-'Retirement Planning'!$I$54-'Retirement Planning'!$I$61)&gt;'Retirement Planning'!$J$59,(SUM(Z108:Z119)-'Retirement Planning'!$I$54-'Retirement Planning'!$I$61-'Retirement Planning'!$J$59)*'Retirement Planning'!$I$60+'Retirement Planning'!$K$59,IF((SUM(Z108:Z119)-'Retirement Planning'!$I$54-'Retirement Planning'!$I$61)&gt;'Retirement Planning'!$J$58,(SUM(Z108:Z119)-'Retirement Planning'!$I$54-'Retirement Planning'!$I$61-'Retirement Planning'!$J$58)*'Retirement Planning'!$I$59+'Retirement Planning'!$K$58,IF((SUM(Z108:Z119)-'Retirement Planning'!$I$54-'Retirement Planning'!$I$61)&gt;'Retirement Planning'!$J$57,(SUM(Z108:Z119)-'Retirement Planning'!$I$54-'Retirement Planning'!$I$61-'Retirement Planning'!$J$57)*'Retirement Planning'!$I$58+'Retirement Planning'!$K$57,IF((SUM(Z108:Z119)-'Retirement Planning'!$I$54-'Retirement Planning'!$I$61)&gt;'Retirement Planning'!$J$56,(SUM(Z108:Z119)-'Retirement Planning'!$I$54-'Retirement Planning'!$I$61-'Retirement Planning'!$J$56)*'Retirement Planning'!$I$57+'Retirement Planning'!$K$56,(SUM(Z108:Z119)-'Retirement Planning'!$I$54-'Retirement Planning'!$I$61)*'Retirement Planning'!$I$56))))))/12,AA119)</f>
        <v>1530.8923971548663</v>
      </c>
      <c r="AB120" s="104">
        <f t="shared" ca="1" si="49"/>
        <v>0.206160704528911</v>
      </c>
      <c r="AC120" s="7">
        <f>IF(B120&lt;65,'Retirement Planning'!$J$28,0)</f>
        <v>0</v>
      </c>
      <c r="AD120" s="7">
        <f>IF(B120&lt;65,'Retirement Planning'!$J$29/12,0)</f>
        <v>0</v>
      </c>
      <c r="AE120" s="22">
        <f>'Retirement Planning'!$J$31/12</f>
        <v>58.333333333333336</v>
      </c>
      <c r="AF120" s="22">
        <f>'Retirement Planning'!$J$32/12</f>
        <v>66.666666666666671</v>
      </c>
      <c r="AG120" s="7">
        <f>IF($B120&gt;64.9,'Retirement Planning'!$J$39/12,0)</f>
        <v>183.33333333333334</v>
      </c>
      <c r="AH120" s="7">
        <f>IF($B120&gt;64.9,'Retirement Planning'!$J$40/12,0)</f>
        <v>258.33333333333331</v>
      </c>
      <c r="AI120" s="7">
        <f>IF($B120&gt;64.9,'Retirement Planning'!$J$41/12,0)</f>
        <v>558.33333333333337</v>
      </c>
      <c r="AJ120" s="7">
        <f t="shared" ca="1" si="31"/>
        <v>316.66666666666663</v>
      </c>
      <c r="AK120" s="3" t="str">
        <f t="shared" ca="1" si="32"/>
        <v>N/A</v>
      </c>
      <c r="AL120" s="6" t="str">
        <f t="shared" ca="1" si="33"/>
        <v>N/A</v>
      </c>
      <c r="AM120" s="7">
        <f t="shared" ca="1" si="34"/>
        <v>2.8421709430404007E-12</v>
      </c>
      <c r="AN120" s="7">
        <f t="shared" ca="1" si="35"/>
        <v>9731.4124635860062</v>
      </c>
      <c r="AO120" s="7">
        <f t="shared" si="36"/>
        <v>1125</v>
      </c>
    </row>
    <row r="121" spans="1:41" x14ac:dyDescent="0.2">
      <c r="A121">
        <f t="shared" si="37"/>
        <v>50</v>
      </c>
      <c r="B121" s="5">
        <f t="shared" si="38"/>
        <v>65.5</v>
      </c>
      <c r="C121" s="56">
        <f t="shared" si="39"/>
        <v>49796</v>
      </c>
      <c r="D121" s="57">
        <f ca="1">IF(AND(B120&lt;59.5,OR(B121&gt;59.5,B121=59.5)),(D120-E120+J120-K120)*(1+'Retirement Planning'!$J$23/12),(D120-E120)*(1+'Retirement Planning'!$J$23/12))</f>
        <v>297496.63896391675</v>
      </c>
      <c r="E121" s="58">
        <f t="shared" ca="1" si="26"/>
        <v>915.50791876392304</v>
      </c>
      <c r="F121" s="57">
        <f ca="1">IF(AND(OR(B121&gt;59.5,B121=59.5),B120&lt;59.5),(F120-G120+L120-M120+N120-O120)*(1+'Retirement Planning'!$J$23/12),(F120-G120)*(1+'Retirement Planning'!$J$23/12))</f>
        <v>1184456.7763308671</v>
      </c>
      <c r="G121" s="58">
        <f ca="1">IF(AND($B$10&lt;55,B121&lt;59.5),'Retirement Planning'!$J$25,IF(OR(B121&gt;59.5,B121=59.5),MAX(0,MIN(F121,IF(D121&lt;2500,((Y121+AJ121+AA121))-X121,((Y121+AJ121+AA121)*'Retirement Planning'!$J$44)-X121))),0))</f>
        <v>6014.0940955046663</v>
      </c>
      <c r="H121" s="255">
        <f ca="1">IF(MONTH(C121)=1,IF(B121&gt;69.5,F121/(INDEX('Retirement Planning'!D$1:D$264,(160+INT(B121))))/12,0),IF(F121=0,0,H120))</f>
        <v>0</v>
      </c>
      <c r="I121" s="262">
        <f t="shared" ca="1" si="27"/>
        <v>0</v>
      </c>
      <c r="J121" s="254">
        <f ca="1">IF(AND(B120&lt;59.5,OR(B121=59.5,B121&gt;59.5)),0,(J120-K120)*(1+'Retirement Planning'!$J$23/12))</f>
        <v>0</v>
      </c>
      <c r="K121" s="58">
        <f t="shared" ca="1" si="28"/>
        <v>0</v>
      </c>
      <c r="L121" s="57">
        <f>IF(AND(OR(B121&gt;59.5,B121=59.5),B120&lt;59.5),0,(L120-M120)*(1+'Retirement Planning'!$J$23/12))</f>
        <v>0</v>
      </c>
      <c r="M121" s="59">
        <f>IF(AND($B$10&lt;55,B121&lt;59.5),0,IF(B121&lt;59.5,MAX(0,MIN((($Y121+$AJ121+AA121)*'Retirement Planning'!$J$44)-$G121-$X121,L121)),0))</f>
        <v>0</v>
      </c>
      <c r="N121" s="57">
        <f ca="1">(N120-O120)*(1+'Retirement Planning'!$J$23/12)</f>
        <v>0</v>
      </c>
      <c r="O121" s="59">
        <f ca="1">IF(B121&gt;59.5,MAX(0,MIN((AA121+$Y121+$AJ121)*(IF(D121&lt;(MIN(E109:E120)+1),1,'Retirement Planning'!$J$44))-M121-$G121-$X121-(IF(D121&lt;(MIN(E109:E120)+1),D121,0)),N121)),0)</f>
        <v>0</v>
      </c>
      <c r="P121" s="57">
        <f t="shared" si="40"/>
        <v>0</v>
      </c>
      <c r="Q121" s="58">
        <f t="shared" si="41"/>
        <v>0</v>
      </c>
      <c r="R121" s="57">
        <f ca="1">(R120-S120-T120)*(1+'Retirement Planning'!$J$23/12)</f>
        <v>307686.75128559762</v>
      </c>
      <c r="S121" s="58">
        <f t="shared" ca="1" si="42"/>
        <v>808.33333333333337</v>
      </c>
      <c r="T121" s="273">
        <f t="shared" ca="1" si="29"/>
        <v>-2.2737367544323206E-13</v>
      </c>
      <c r="U121" s="57">
        <f ca="1">(U120-V120)*(1+'Retirement Planning'!$J$23/12)</f>
        <v>247979.71035634921</v>
      </c>
      <c r="V121" s="24">
        <f ca="1">IF(AND($B$10&lt;55,B121&lt;59.5),MIN(U121,MAX(0,(Y121+AA121+AJ121-G121)*'Retirement Planning'!$J$45)),IF(B121&lt;59.5,(MIN(U121,MAX(0,((Y121+AA121+AJ121)-G121-M121)*'Retirement Planning'!$J$45))),MIN(U121,MAX(0,(Y121+AA121+AJ121-G121-M121-K121-X121)*'Retirement Planning'!$J$45))))</f>
        <v>779.87711598408271</v>
      </c>
      <c r="W121" s="7">
        <f t="shared" ca="1" si="30"/>
        <v>2037619.8769367307</v>
      </c>
      <c r="X121" s="7">
        <f>(IF(B121&gt;'Retirement Planning'!$J$34,IF('Retirement Planning'!$J$34=70,'Retirement Planning'!$J$37/12,IF('Retirement Planning'!$J$34=67,'Retirement Planning'!$J$36/12,'Retirement Planning'!$J$35/12)),0))*'Retirement Planning'!$J$38</f>
        <v>1213.6000000000001</v>
      </c>
      <c r="Y121" s="7">
        <f ca="1">'Retirement Planning'!$F$35*((1+'Retirement Planning'!$J$24)^(YEAR('Projected Retirement Drawdown'!C121)-YEAR(TODAY())))</f>
        <v>7075.5200664311405</v>
      </c>
      <c r="Z121" s="7">
        <f ca="1">G121+M121+O121+0.85*X121+V121*'Retirement Planning'!$J$46+T121</f>
        <v>7474.586509295912</v>
      </c>
      <c r="AA121" s="7">
        <f ca="1">IF(MONTH(C121)=1,(((MIN(MAX(0,((SUM(Z109:Z120)-'Retirement Planning'!$I$53-'Retirement Planning'!$I$54)-'Retirement Planning'!$J$51)*'Retirement Planning'!$I$52))))+(MIN(MAX(0,((SUM(Z109:Z120)-'Retirement Planning'!$I$53-'Retirement Planning'!$I$54)-'Retirement Planning'!$J$50)*'Retirement Planning'!$I$51),('Retirement Planning'!$J$51-'Retirement Planning'!$J$50)*'Retirement Planning'!$I$51))+(MIN(MAX(0,((SUM(Z109:Z120)-'Retirement Planning'!$I$53-'Retirement Planning'!$I$54)-'Retirement Planning'!$J$49)*'Retirement Planning'!$I$50),('Retirement Planning'!$J$50-'Retirement Planning'!$J$49)*'Retirement Planning'!$I$50)+MIN(MAX(0,((SUM(Z109:Z120)-'Retirement Planning'!$I$53-'Retirement Planning'!$I$54)-'Retirement Planning'!$J$48)*'Retirement Planning'!$I$49),('Retirement Planning'!$J$49-'Retirement Planning'!$J$48)*'Retirement Planning'!$I$49)+MIN(((SUM(Z109:Z120)-'Retirement Planning'!$I$53-'Retirement Planning'!$I$54))*'Retirement Planning'!$I$48,('Retirement Planning'!$J$48)*'Retirement Planning'!$I$48))+(IF((SUM(Z109:Z120)-'Retirement Planning'!$I$54-'Retirement Planning'!$I$61)&gt;'Retirement Planning'!$J$59,(SUM(Z109:Z120)-'Retirement Planning'!$I$54-'Retirement Planning'!$I$61-'Retirement Planning'!$J$59)*'Retirement Planning'!$I$60+'Retirement Planning'!$K$59,IF((SUM(Z109:Z120)-'Retirement Planning'!$I$54-'Retirement Planning'!$I$61)&gt;'Retirement Planning'!$J$58,(SUM(Z109:Z120)-'Retirement Planning'!$I$54-'Retirement Planning'!$I$61-'Retirement Planning'!$J$58)*'Retirement Planning'!$I$59+'Retirement Planning'!$K$58,IF((SUM(Z109:Z120)-'Retirement Planning'!$I$54-'Retirement Planning'!$I$61)&gt;'Retirement Planning'!$J$57,(SUM(Z109:Z120)-'Retirement Planning'!$I$54-'Retirement Planning'!$I$61-'Retirement Planning'!$J$57)*'Retirement Planning'!$I$58+'Retirement Planning'!$K$57,IF((SUM(Z109:Z120)-'Retirement Planning'!$I$54-'Retirement Planning'!$I$61)&gt;'Retirement Planning'!$J$56,(SUM(Z109:Z120)-'Retirement Planning'!$I$54-'Retirement Planning'!$I$61-'Retirement Planning'!$J$56)*'Retirement Planning'!$I$57+'Retirement Planning'!$K$56,(SUM(Z109:Z120)-'Retirement Planning'!$I$54-'Retirement Planning'!$I$61)*'Retirement Planning'!$I$56))))))/12,AA120)</f>
        <v>1530.8923971548663</v>
      </c>
      <c r="AB121" s="104">
        <f t="shared" ca="1" si="49"/>
        <v>0.206160704528911</v>
      </c>
      <c r="AC121" s="7">
        <f>IF(B121&lt;65,'Retirement Planning'!$J$28,0)</f>
        <v>0</v>
      </c>
      <c r="AD121" s="7">
        <f>IF(B121&lt;65,'Retirement Planning'!$J$29/12,0)</f>
        <v>0</v>
      </c>
      <c r="AE121" s="22">
        <f>'Retirement Planning'!$J$31/12</f>
        <v>58.333333333333336</v>
      </c>
      <c r="AF121" s="22">
        <f>'Retirement Planning'!$J$32/12</f>
        <v>66.666666666666671</v>
      </c>
      <c r="AG121" s="7">
        <f>IF($B121&gt;64.9,'Retirement Planning'!$J$39/12,0)</f>
        <v>183.33333333333334</v>
      </c>
      <c r="AH121" s="7">
        <f>IF($B121&gt;64.9,'Retirement Planning'!$J$40/12,0)</f>
        <v>258.33333333333331</v>
      </c>
      <c r="AI121" s="7">
        <f>IF($B121&gt;64.9,'Retirement Planning'!$J$41/12,0)</f>
        <v>558.33333333333337</v>
      </c>
      <c r="AJ121" s="7">
        <f t="shared" ca="1" si="31"/>
        <v>316.66666666666663</v>
      </c>
      <c r="AK121" s="3" t="str">
        <f t="shared" ca="1" si="32"/>
        <v>N/A</v>
      </c>
      <c r="AL121" s="6" t="str">
        <f t="shared" ca="1" si="33"/>
        <v>N/A</v>
      </c>
      <c r="AM121" s="7">
        <f t="shared" ca="1" si="34"/>
        <v>2.8421709430404007E-12</v>
      </c>
      <c r="AN121" s="7">
        <f t="shared" ca="1" si="35"/>
        <v>9731.4124635860062</v>
      </c>
      <c r="AO121" s="7">
        <f t="shared" si="36"/>
        <v>1125</v>
      </c>
    </row>
    <row r="122" spans="1:41" x14ac:dyDescent="0.2">
      <c r="A122">
        <f t="shared" si="37"/>
        <v>50</v>
      </c>
      <c r="B122" s="5">
        <f t="shared" si="38"/>
        <v>65.599999999999994</v>
      </c>
      <c r="C122" s="56">
        <f t="shared" si="39"/>
        <v>49827</v>
      </c>
      <c r="D122" s="57">
        <f ca="1">IF(AND(B121&lt;59.5,OR(B122&gt;59.5,B122=59.5)),(D121-E121+J121-K121)*(1+'Retirement Planning'!$J$23/12),(D121-E121)*(1+'Retirement Planning'!$J$23/12))</f>
        <v>298681.91405672266</v>
      </c>
      <c r="E122" s="58">
        <f t="shared" ca="1" si="26"/>
        <v>915.50791876392304</v>
      </c>
      <c r="F122" s="57">
        <f ca="1">IF(AND(OR(B122&gt;59.5,B122=59.5),B121&lt;59.5),(F121-G121+L121-M121+N121-O121)*(1+'Retirement Planning'!$J$23/12),(F121-G121)*(1+'Retirement Planning'!$J$23/12))</f>
        <v>1186789.9845678629</v>
      </c>
      <c r="G122" s="58">
        <f ca="1">IF(AND($B$10&lt;55,B122&lt;59.5),'Retirement Planning'!$J$25,IF(OR(B122&gt;59.5,B122=59.5),MAX(0,MIN(F122,IF(D122&lt;2500,((Y122+AJ122+AA122))-X122,((Y122+AJ122+AA122)*'Retirement Planning'!$J$44)-X122))),0))</f>
        <v>6014.0940955046663</v>
      </c>
      <c r="H122" s="255">
        <f ca="1">IF(MONTH(C122)=1,IF(B122&gt;69.5,F122/(INDEX('Retirement Planning'!D$1:D$264,(160+INT(B122))))/12,0),IF(F122=0,0,H121))</f>
        <v>0</v>
      </c>
      <c r="I122" s="262">
        <f t="shared" ca="1" si="27"/>
        <v>0</v>
      </c>
      <c r="J122" s="254">
        <f ca="1">IF(AND(B121&lt;59.5,OR(B122=59.5,B122&gt;59.5)),0,(J121-K121)*(1+'Retirement Planning'!$J$23/12))</f>
        <v>0</v>
      </c>
      <c r="K122" s="58">
        <f t="shared" ca="1" si="28"/>
        <v>0</v>
      </c>
      <c r="L122" s="57">
        <f>IF(AND(OR(B122&gt;59.5,B122=59.5),B121&lt;59.5),0,(L121-M121)*(1+'Retirement Planning'!$J$23/12))</f>
        <v>0</v>
      </c>
      <c r="M122" s="59">
        <f>IF(AND($B$10&lt;55,B122&lt;59.5),0,IF(B122&lt;59.5,MAX(0,MIN((($Y122+$AJ122+AA122)*'Retirement Planning'!$J$44)-$G122-$X122,L122)),0))</f>
        <v>0</v>
      </c>
      <c r="N122" s="57">
        <f ca="1">(N121-O121)*(1+'Retirement Planning'!$J$23/12)</f>
        <v>0</v>
      </c>
      <c r="O122" s="59">
        <f ca="1">IF(B122&gt;59.5,MAX(0,MIN((AA122+$Y122+$AJ122)*(IF(D122&lt;(MIN(E110:E121)+1),1,'Retirement Planning'!$J$44))-M122-$G122-$X122-(IF(D122&lt;(MIN(E110:E121)+1),D122,0)),N122)),0)</f>
        <v>0</v>
      </c>
      <c r="P122" s="57">
        <f t="shared" si="40"/>
        <v>0</v>
      </c>
      <c r="Q122" s="58">
        <f t="shared" si="41"/>
        <v>0</v>
      </c>
      <c r="R122" s="57">
        <f ca="1">(R121-S121-T121)*(1+'Retirement Planning'!$J$23/12)</f>
        <v>309052.14007942617</v>
      </c>
      <c r="S122" s="58">
        <f t="shared" ca="1" si="42"/>
        <v>808.33333333333337</v>
      </c>
      <c r="T122" s="273">
        <f t="shared" ca="1" si="29"/>
        <v>-2.2737367544323206E-13</v>
      </c>
      <c r="U122" s="57">
        <f ca="1">(U121-V121)*(1+'Retirement Planning'!$J$23/12)</f>
        <v>248950.83205915106</v>
      </c>
      <c r="V122" s="24">
        <f ca="1">IF(AND($B$10&lt;55,B122&lt;59.5),MIN(U122,MAX(0,(Y122+AA122+AJ122-G122)*'Retirement Planning'!$J$45)),IF(B122&lt;59.5,(MIN(U122,MAX(0,((Y122+AA122+AJ122)-G122-M122)*'Retirement Planning'!$J$45))),MIN(U122,MAX(0,(Y122+AA122+AJ122-G122-M122-K122-X122)*'Retirement Planning'!$J$45))))</f>
        <v>779.87711598408271</v>
      </c>
      <c r="W122" s="7">
        <f t="shared" ca="1" si="30"/>
        <v>2043474.8707631626</v>
      </c>
      <c r="X122" s="7">
        <f>(IF(B122&gt;'Retirement Planning'!$J$34,IF('Retirement Planning'!$J$34=70,'Retirement Planning'!$J$37/12,IF('Retirement Planning'!$J$34=67,'Retirement Planning'!$J$36/12,'Retirement Planning'!$J$35/12)),0))*'Retirement Planning'!$J$38</f>
        <v>1213.6000000000001</v>
      </c>
      <c r="Y122" s="7">
        <f ca="1">'Retirement Planning'!$F$35*((1+'Retirement Planning'!$J$24)^(YEAR('Projected Retirement Drawdown'!C122)-YEAR(TODAY())))</f>
        <v>7075.5200664311405</v>
      </c>
      <c r="Z122" s="7">
        <f ca="1">G122+M122+O122+0.85*X122+V122*'Retirement Planning'!$J$46+T122</f>
        <v>7474.586509295912</v>
      </c>
      <c r="AA122" s="7">
        <f ca="1">IF(MONTH(C122)=1,(((MIN(MAX(0,((SUM(Z110:Z121)-'Retirement Planning'!$I$53-'Retirement Planning'!$I$54)-'Retirement Planning'!$J$51)*'Retirement Planning'!$I$52))))+(MIN(MAX(0,((SUM(Z110:Z121)-'Retirement Planning'!$I$53-'Retirement Planning'!$I$54)-'Retirement Planning'!$J$50)*'Retirement Planning'!$I$51),('Retirement Planning'!$J$51-'Retirement Planning'!$J$50)*'Retirement Planning'!$I$51))+(MIN(MAX(0,((SUM(Z110:Z121)-'Retirement Planning'!$I$53-'Retirement Planning'!$I$54)-'Retirement Planning'!$J$49)*'Retirement Planning'!$I$50),('Retirement Planning'!$J$50-'Retirement Planning'!$J$49)*'Retirement Planning'!$I$50)+MIN(MAX(0,((SUM(Z110:Z121)-'Retirement Planning'!$I$53-'Retirement Planning'!$I$54)-'Retirement Planning'!$J$48)*'Retirement Planning'!$I$49),('Retirement Planning'!$J$49-'Retirement Planning'!$J$48)*'Retirement Planning'!$I$49)+MIN(((SUM(Z110:Z121)-'Retirement Planning'!$I$53-'Retirement Planning'!$I$54))*'Retirement Planning'!$I$48,('Retirement Planning'!$J$48)*'Retirement Planning'!$I$48))+(IF((SUM(Z110:Z121)-'Retirement Planning'!$I$54-'Retirement Planning'!$I$61)&gt;'Retirement Planning'!$J$59,(SUM(Z110:Z121)-'Retirement Planning'!$I$54-'Retirement Planning'!$I$61-'Retirement Planning'!$J$59)*'Retirement Planning'!$I$60+'Retirement Planning'!$K$59,IF((SUM(Z110:Z121)-'Retirement Planning'!$I$54-'Retirement Planning'!$I$61)&gt;'Retirement Planning'!$J$58,(SUM(Z110:Z121)-'Retirement Planning'!$I$54-'Retirement Planning'!$I$61-'Retirement Planning'!$J$58)*'Retirement Planning'!$I$59+'Retirement Planning'!$K$58,IF((SUM(Z110:Z121)-'Retirement Planning'!$I$54-'Retirement Planning'!$I$61)&gt;'Retirement Planning'!$J$57,(SUM(Z110:Z121)-'Retirement Planning'!$I$54-'Retirement Planning'!$I$61-'Retirement Planning'!$J$57)*'Retirement Planning'!$I$58+'Retirement Planning'!$K$57,IF((SUM(Z110:Z121)-'Retirement Planning'!$I$54-'Retirement Planning'!$I$61)&gt;'Retirement Planning'!$J$56,(SUM(Z110:Z121)-'Retirement Planning'!$I$54-'Retirement Planning'!$I$61-'Retirement Planning'!$J$56)*'Retirement Planning'!$I$57+'Retirement Planning'!$K$56,(SUM(Z110:Z121)-'Retirement Planning'!$I$54-'Retirement Planning'!$I$61)*'Retirement Planning'!$I$56))))))/12,AA121)</f>
        <v>1530.8923971548663</v>
      </c>
      <c r="AB122" s="104">
        <f t="shared" ca="1" si="49"/>
        <v>0.206160704528911</v>
      </c>
      <c r="AC122" s="7">
        <f>IF(B122&lt;65,'Retirement Planning'!$J$28,0)</f>
        <v>0</v>
      </c>
      <c r="AD122" s="7">
        <f>IF(B122&lt;65,'Retirement Planning'!$J$29/12,0)</f>
        <v>0</v>
      </c>
      <c r="AE122" s="22">
        <f>'Retirement Planning'!$J$31/12</f>
        <v>58.333333333333336</v>
      </c>
      <c r="AF122" s="22">
        <f>'Retirement Planning'!$J$32/12</f>
        <v>66.666666666666671</v>
      </c>
      <c r="AG122" s="7">
        <f>IF($B122&gt;64.9,'Retirement Planning'!$J$39/12,0)</f>
        <v>183.33333333333334</v>
      </c>
      <c r="AH122" s="7">
        <f>IF($B122&gt;64.9,'Retirement Planning'!$J$40/12,0)</f>
        <v>258.33333333333331</v>
      </c>
      <c r="AI122" s="7">
        <f>IF($B122&gt;64.9,'Retirement Planning'!$J$41/12,0)</f>
        <v>558.33333333333337</v>
      </c>
      <c r="AJ122" s="7">
        <f t="shared" ca="1" si="31"/>
        <v>316.66666666666663</v>
      </c>
      <c r="AK122" s="3" t="str">
        <f t="shared" ca="1" si="32"/>
        <v>N/A</v>
      </c>
      <c r="AL122" s="6" t="str">
        <f t="shared" ca="1" si="33"/>
        <v>N/A</v>
      </c>
      <c r="AM122" s="7">
        <f t="shared" ca="1" si="34"/>
        <v>2.8421709430404007E-12</v>
      </c>
      <c r="AN122" s="7">
        <f t="shared" ca="1" si="35"/>
        <v>9731.4124635860062</v>
      </c>
      <c r="AO122" s="7">
        <f t="shared" si="36"/>
        <v>1125</v>
      </c>
    </row>
    <row r="123" spans="1:41" x14ac:dyDescent="0.2">
      <c r="A123">
        <f t="shared" si="37"/>
        <v>50</v>
      </c>
      <c r="B123" s="5">
        <f t="shared" si="38"/>
        <v>65.7</v>
      </c>
      <c r="C123" s="56">
        <f t="shared" si="39"/>
        <v>49857</v>
      </c>
      <c r="D123" s="57">
        <f ca="1">IF(AND(B122&lt;59.5,OR(B123&gt;59.5,B123=59.5)),(D122-E122+J122-K122)*(1+'Retirement Planning'!$J$23/12),(D122-E122)*(1+'Retirement Planning'!$J$23/12))</f>
        <v>299875.58484810265</v>
      </c>
      <c r="E123" s="58">
        <f t="shared" ca="1" si="26"/>
        <v>915.50791876392304</v>
      </c>
      <c r="F123" s="57">
        <f ca="1">IF(AND(OR(B123&gt;59.5,B123=59.5),B122&lt;59.5),(F122-G122+L122-M122+N122-O122)*(1+'Retirement Planning'!$J$23/12),(F122-G122)*(1+'Retirement Planning'!$J$23/12))</f>
        <v>1189139.7196965376</v>
      </c>
      <c r="G123" s="58">
        <f ca="1">IF(AND($B$10&lt;55,B123&lt;59.5),'Retirement Planning'!$J$25,IF(OR(B123&gt;59.5,B123=59.5),MAX(0,MIN(F123,IF(D123&lt;2500,((Y123+AJ123+AA123))-X123,((Y123+AJ123+AA123)*'Retirement Planning'!$J$44)-X123))),0))</f>
        <v>6014.0940955046663</v>
      </c>
      <c r="H123" s="255">
        <f ca="1">IF(MONTH(C123)=1,IF(B123&gt;69.5,F123/(INDEX('Retirement Planning'!D$1:D$264,(160+INT(B123))))/12,0),IF(F123=0,0,H122))</f>
        <v>0</v>
      </c>
      <c r="I123" s="262">
        <f t="shared" ca="1" si="27"/>
        <v>0</v>
      </c>
      <c r="J123" s="254">
        <f ca="1">IF(AND(B122&lt;59.5,OR(B123=59.5,B123&gt;59.5)),0,(J122-K122)*(1+'Retirement Planning'!$J$23/12))</f>
        <v>0</v>
      </c>
      <c r="K123" s="58">
        <f t="shared" ca="1" si="28"/>
        <v>0</v>
      </c>
      <c r="L123" s="57">
        <f>IF(AND(OR(B123&gt;59.5,B123=59.5),B122&lt;59.5),0,(L122-M122)*(1+'Retirement Planning'!$J$23/12))</f>
        <v>0</v>
      </c>
      <c r="M123" s="59">
        <f>IF(AND($B$10&lt;55,B123&lt;59.5),0,IF(B123&lt;59.5,MAX(0,MIN((($Y123+$AJ123+AA123)*'Retirement Planning'!$J$44)-$G123-$X123,L123)),0))</f>
        <v>0</v>
      </c>
      <c r="N123" s="57">
        <f ca="1">(N122-O122)*(1+'Retirement Planning'!$J$23/12)</f>
        <v>0</v>
      </c>
      <c r="O123" s="59">
        <f ca="1">IF(B123&gt;59.5,MAX(0,MIN((AA123+$Y123+$AJ123)*(IF(D123&lt;(MIN(E111:E122)+1),1,'Retirement Planning'!$J$44))-M123-$G123-$X123-(IF(D123&lt;(MIN(E111:E122)+1),D123,0)),N123)),0)</f>
        <v>0</v>
      </c>
      <c r="P123" s="57">
        <f t="shared" si="40"/>
        <v>0</v>
      </c>
      <c r="Q123" s="58">
        <f t="shared" si="41"/>
        <v>0</v>
      </c>
      <c r="R123" s="57">
        <f ca="1">(R122-S122-T122)*(1+'Retirement Planning'!$J$23/12)</f>
        <v>310427.20037721103</v>
      </c>
      <c r="S123" s="58">
        <f t="shared" ca="1" si="42"/>
        <v>808.33333333333337</v>
      </c>
      <c r="T123" s="273">
        <f t="shared" ca="1" si="29"/>
        <v>-2.2737367544323206E-13</v>
      </c>
      <c r="U123" s="57">
        <f ca="1">(U122-V122)*(1+'Retirement Planning'!$J$23/12)</f>
        <v>249928.83254068109</v>
      </c>
      <c r="V123" s="24">
        <f ca="1">IF(AND($B$10&lt;55,B123&lt;59.5),MIN(U123,MAX(0,(Y123+AA123+AJ123-G123)*'Retirement Planning'!$J$45)),IF(B123&lt;59.5,(MIN(U123,MAX(0,((Y123+AA123+AJ123)-G123-M123)*'Retirement Planning'!$J$45))),MIN(U123,MAX(0,(Y123+AA123+AJ123-G123-M123-K123-X123)*'Retirement Planning'!$J$45))))</f>
        <v>779.87711598408271</v>
      </c>
      <c r="W123" s="7">
        <f t="shared" ca="1" si="30"/>
        <v>2049371.3374625323</v>
      </c>
      <c r="X123" s="7">
        <f>(IF(B123&gt;'Retirement Planning'!$J$34,IF('Retirement Planning'!$J$34=70,'Retirement Planning'!$J$37/12,IF('Retirement Planning'!$J$34=67,'Retirement Planning'!$J$36/12,'Retirement Planning'!$J$35/12)),0))*'Retirement Planning'!$J$38</f>
        <v>1213.6000000000001</v>
      </c>
      <c r="Y123" s="7">
        <f ca="1">'Retirement Planning'!$F$35*((1+'Retirement Planning'!$J$24)^(YEAR('Projected Retirement Drawdown'!C123)-YEAR(TODAY())))</f>
        <v>7075.5200664311405</v>
      </c>
      <c r="Z123" s="7">
        <f ca="1">G123+M123+O123+0.85*X123+V123*'Retirement Planning'!$J$46+T123</f>
        <v>7474.586509295912</v>
      </c>
      <c r="AA123" s="7">
        <f ca="1">IF(MONTH(C123)=1,(((MIN(MAX(0,((SUM(Z111:Z122)-'Retirement Planning'!$I$53-'Retirement Planning'!$I$54)-'Retirement Planning'!$J$51)*'Retirement Planning'!$I$52))))+(MIN(MAX(0,((SUM(Z111:Z122)-'Retirement Planning'!$I$53-'Retirement Planning'!$I$54)-'Retirement Planning'!$J$50)*'Retirement Planning'!$I$51),('Retirement Planning'!$J$51-'Retirement Planning'!$J$50)*'Retirement Planning'!$I$51))+(MIN(MAX(0,((SUM(Z111:Z122)-'Retirement Planning'!$I$53-'Retirement Planning'!$I$54)-'Retirement Planning'!$J$49)*'Retirement Planning'!$I$50),('Retirement Planning'!$J$50-'Retirement Planning'!$J$49)*'Retirement Planning'!$I$50)+MIN(MAX(0,((SUM(Z111:Z122)-'Retirement Planning'!$I$53-'Retirement Planning'!$I$54)-'Retirement Planning'!$J$48)*'Retirement Planning'!$I$49),('Retirement Planning'!$J$49-'Retirement Planning'!$J$48)*'Retirement Planning'!$I$49)+MIN(((SUM(Z111:Z122)-'Retirement Planning'!$I$53-'Retirement Planning'!$I$54))*'Retirement Planning'!$I$48,('Retirement Planning'!$J$48)*'Retirement Planning'!$I$48))+(IF((SUM(Z111:Z122)-'Retirement Planning'!$I$54-'Retirement Planning'!$I$61)&gt;'Retirement Planning'!$J$59,(SUM(Z111:Z122)-'Retirement Planning'!$I$54-'Retirement Planning'!$I$61-'Retirement Planning'!$J$59)*'Retirement Planning'!$I$60+'Retirement Planning'!$K$59,IF((SUM(Z111:Z122)-'Retirement Planning'!$I$54-'Retirement Planning'!$I$61)&gt;'Retirement Planning'!$J$58,(SUM(Z111:Z122)-'Retirement Planning'!$I$54-'Retirement Planning'!$I$61-'Retirement Planning'!$J$58)*'Retirement Planning'!$I$59+'Retirement Planning'!$K$58,IF((SUM(Z111:Z122)-'Retirement Planning'!$I$54-'Retirement Planning'!$I$61)&gt;'Retirement Planning'!$J$57,(SUM(Z111:Z122)-'Retirement Planning'!$I$54-'Retirement Planning'!$I$61-'Retirement Planning'!$J$57)*'Retirement Planning'!$I$58+'Retirement Planning'!$K$57,IF((SUM(Z111:Z122)-'Retirement Planning'!$I$54-'Retirement Planning'!$I$61)&gt;'Retirement Planning'!$J$56,(SUM(Z111:Z122)-'Retirement Planning'!$I$54-'Retirement Planning'!$I$61-'Retirement Planning'!$J$56)*'Retirement Planning'!$I$57+'Retirement Planning'!$K$56,(SUM(Z111:Z122)-'Retirement Planning'!$I$54-'Retirement Planning'!$I$61)*'Retirement Planning'!$I$56))))))/12,AA122)</f>
        <v>1530.8923971548663</v>
      </c>
      <c r="AB123" s="104">
        <f t="shared" ca="1" si="49"/>
        <v>0.206160704528911</v>
      </c>
      <c r="AC123" s="7">
        <f>IF(B123&lt;65,'Retirement Planning'!$J$28,0)</f>
        <v>0</v>
      </c>
      <c r="AD123" s="7">
        <f>IF(B123&lt;65,'Retirement Planning'!$J$29/12,0)</f>
        <v>0</v>
      </c>
      <c r="AE123" s="22">
        <f>'Retirement Planning'!$J$31/12</f>
        <v>58.333333333333336</v>
      </c>
      <c r="AF123" s="22">
        <f>'Retirement Planning'!$J$32/12</f>
        <v>66.666666666666671</v>
      </c>
      <c r="AG123" s="7">
        <f>IF($B123&gt;64.9,'Retirement Planning'!$J$39/12,0)</f>
        <v>183.33333333333334</v>
      </c>
      <c r="AH123" s="7">
        <f>IF($B123&gt;64.9,'Retirement Planning'!$J$40/12,0)</f>
        <v>258.33333333333331</v>
      </c>
      <c r="AI123" s="7">
        <f>IF($B123&gt;64.9,'Retirement Planning'!$J$41/12,0)</f>
        <v>558.33333333333337</v>
      </c>
      <c r="AJ123" s="7">
        <f t="shared" ca="1" si="31"/>
        <v>316.66666666666663</v>
      </c>
      <c r="AK123" s="3" t="str">
        <f t="shared" ca="1" si="32"/>
        <v>N/A</v>
      </c>
      <c r="AL123" s="6" t="str">
        <f t="shared" ca="1" si="33"/>
        <v>N/A</v>
      </c>
      <c r="AM123" s="7">
        <f t="shared" ca="1" si="34"/>
        <v>2.8421709430404007E-12</v>
      </c>
      <c r="AN123" s="7">
        <f t="shared" ca="1" si="35"/>
        <v>9731.4124635860062</v>
      </c>
      <c r="AO123" s="7">
        <f t="shared" si="36"/>
        <v>1125</v>
      </c>
    </row>
    <row r="124" spans="1:41" x14ac:dyDescent="0.2">
      <c r="A124">
        <f t="shared" si="37"/>
        <v>50</v>
      </c>
      <c r="B124" s="5">
        <f t="shared" si="38"/>
        <v>65.8</v>
      </c>
      <c r="C124" s="56">
        <f t="shared" si="39"/>
        <v>49888</v>
      </c>
      <c r="D124" s="57">
        <f ca="1">IF(AND(B123&lt;59.5,OR(B124&gt;59.5,B124=59.5)),(D123-E123+J123-K123)*(1+'Retirement Planning'!$J$23/12),(D123-E123)*(1+'Retirement Planning'!$J$23/12))</f>
        <v>301077.71080758824</v>
      </c>
      <c r="E124" s="58">
        <f t="shared" ca="1" si="26"/>
        <v>915.50791876392304</v>
      </c>
      <c r="F124" s="57">
        <f ca="1">IF(AND(OR(B124&gt;59.5,B124=59.5),B123&lt;59.5),(F123-G123+L123-M123+N123-O123)*(1+'Retirement Planning'!$J$23/12),(F123-G123)*(1+'Retirement Planning'!$J$23/12))</f>
        <v>1191506.0987823736</v>
      </c>
      <c r="G124" s="58">
        <f ca="1">IF(AND($B$10&lt;55,B124&lt;59.5),'Retirement Planning'!$J$25,IF(OR(B124&gt;59.5,B124=59.5),MAX(0,MIN(F124,IF(D124&lt;2500,((Y124+AJ124+AA124))-X124,((Y124+AJ124+AA124)*'Retirement Planning'!$J$44)-X124))),0))</f>
        <v>6014.0940955046663</v>
      </c>
      <c r="H124" s="255">
        <f ca="1">IF(MONTH(C124)=1,IF(B124&gt;69.5,F124/(INDEX('Retirement Planning'!D$1:D$264,(160+INT(B124))))/12,0),IF(F124=0,0,H123))</f>
        <v>0</v>
      </c>
      <c r="I124" s="262">
        <f t="shared" ca="1" si="27"/>
        <v>0</v>
      </c>
      <c r="J124" s="254">
        <f ca="1">IF(AND(B123&lt;59.5,OR(B124=59.5,B124&gt;59.5)),0,(J123-K123)*(1+'Retirement Planning'!$J$23/12))</f>
        <v>0</v>
      </c>
      <c r="K124" s="58">
        <f t="shared" ca="1" si="28"/>
        <v>0</v>
      </c>
      <c r="L124" s="57">
        <f>IF(AND(OR(B124&gt;59.5,B124=59.5),B123&lt;59.5),0,(L123-M123)*(1+'Retirement Planning'!$J$23/12))</f>
        <v>0</v>
      </c>
      <c r="M124" s="59">
        <f>IF(AND($B$10&lt;55,B124&lt;59.5),0,IF(B124&lt;59.5,MAX(0,MIN((($Y124+$AJ124+AA124)*'Retirement Planning'!$J$44)-$G124-$X124,L124)),0))</f>
        <v>0</v>
      </c>
      <c r="N124" s="57">
        <f ca="1">(N123-O123)*(1+'Retirement Planning'!$J$23/12)</f>
        <v>0</v>
      </c>
      <c r="O124" s="59">
        <f ca="1">IF(B124&gt;59.5,MAX(0,MIN((AA124+$Y124+$AJ124)*(IF(D124&lt;(MIN(E112:E123)+1),1,'Retirement Planning'!$J$44))-M124-$G124-$X124-(IF(D124&lt;(MIN(E112:E123)+1),D124,0)),N124)),0)</f>
        <v>0</v>
      </c>
      <c r="P124" s="57">
        <f t="shared" si="40"/>
        <v>0</v>
      </c>
      <c r="Q124" s="58">
        <f t="shared" si="41"/>
        <v>0</v>
      </c>
      <c r="R124" s="57">
        <f ca="1">(R123-S123-T123)*(1+'Retirement Planning'!$J$23/12)</f>
        <v>311812.00068543851</v>
      </c>
      <c r="S124" s="58">
        <f t="shared" ca="1" si="42"/>
        <v>808.33333333333337</v>
      </c>
      <c r="T124" s="273">
        <f t="shared" ca="1" si="29"/>
        <v>-2.2737367544323206E-13</v>
      </c>
      <c r="U124" s="57">
        <f ca="1">(U123-V123)*(1+'Retirement Planning'!$J$23/12)</f>
        <v>250913.76052562197</v>
      </c>
      <c r="V124" s="24">
        <f ca="1">IF(AND($B$10&lt;55,B124&lt;59.5),MIN(U124,MAX(0,(Y124+AA124+AJ124-G124)*'Retirement Planning'!$J$45)),IF(B124&lt;59.5,(MIN(U124,MAX(0,((Y124+AA124+AJ124)-G124-M124)*'Retirement Planning'!$J$45))),MIN(U124,MAX(0,(Y124+AA124+AJ124-G124-M124-K124-X124)*'Retirement Planning'!$J$45))))</f>
        <v>779.87711598408271</v>
      </c>
      <c r="W124" s="7">
        <f t="shared" ca="1" si="30"/>
        <v>2055309.5708010222</v>
      </c>
      <c r="X124" s="7">
        <f>(IF(B124&gt;'Retirement Planning'!$J$34,IF('Retirement Planning'!$J$34=70,'Retirement Planning'!$J$37/12,IF('Retirement Planning'!$J$34=67,'Retirement Planning'!$J$36/12,'Retirement Planning'!$J$35/12)),0))*'Retirement Planning'!$J$38</f>
        <v>1213.6000000000001</v>
      </c>
      <c r="Y124" s="7">
        <f ca="1">'Retirement Planning'!$F$35*((1+'Retirement Planning'!$J$24)^(YEAR('Projected Retirement Drawdown'!C124)-YEAR(TODAY())))</f>
        <v>7075.5200664311405</v>
      </c>
      <c r="Z124" s="7">
        <f ca="1">G124+M124+O124+0.85*X124+V124*'Retirement Planning'!$J$46+T124</f>
        <v>7474.586509295912</v>
      </c>
      <c r="AA124" s="7">
        <f ca="1">IF(MONTH(C124)=1,(((MIN(MAX(0,((SUM(Z112:Z123)-'Retirement Planning'!$I$53-'Retirement Planning'!$I$54)-'Retirement Planning'!$J$51)*'Retirement Planning'!$I$52))))+(MIN(MAX(0,((SUM(Z112:Z123)-'Retirement Planning'!$I$53-'Retirement Planning'!$I$54)-'Retirement Planning'!$J$50)*'Retirement Planning'!$I$51),('Retirement Planning'!$J$51-'Retirement Planning'!$J$50)*'Retirement Planning'!$I$51))+(MIN(MAX(0,((SUM(Z112:Z123)-'Retirement Planning'!$I$53-'Retirement Planning'!$I$54)-'Retirement Planning'!$J$49)*'Retirement Planning'!$I$50),('Retirement Planning'!$J$50-'Retirement Planning'!$J$49)*'Retirement Planning'!$I$50)+MIN(MAX(0,((SUM(Z112:Z123)-'Retirement Planning'!$I$53-'Retirement Planning'!$I$54)-'Retirement Planning'!$J$48)*'Retirement Planning'!$I$49),('Retirement Planning'!$J$49-'Retirement Planning'!$J$48)*'Retirement Planning'!$I$49)+MIN(((SUM(Z112:Z123)-'Retirement Planning'!$I$53-'Retirement Planning'!$I$54))*'Retirement Planning'!$I$48,('Retirement Planning'!$J$48)*'Retirement Planning'!$I$48))+(IF((SUM(Z112:Z123)-'Retirement Planning'!$I$54-'Retirement Planning'!$I$61)&gt;'Retirement Planning'!$J$59,(SUM(Z112:Z123)-'Retirement Planning'!$I$54-'Retirement Planning'!$I$61-'Retirement Planning'!$J$59)*'Retirement Planning'!$I$60+'Retirement Planning'!$K$59,IF((SUM(Z112:Z123)-'Retirement Planning'!$I$54-'Retirement Planning'!$I$61)&gt;'Retirement Planning'!$J$58,(SUM(Z112:Z123)-'Retirement Planning'!$I$54-'Retirement Planning'!$I$61-'Retirement Planning'!$J$58)*'Retirement Planning'!$I$59+'Retirement Planning'!$K$58,IF((SUM(Z112:Z123)-'Retirement Planning'!$I$54-'Retirement Planning'!$I$61)&gt;'Retirement Planning'!$J$57,(SUM(Z112:Z123)-'Retirement Planning'!$I$54-'Retirement Planning'!$I$61-'Retirement Planning'!$J$57)*'Retirement Planning'!$I$58+'Retirement Planning'!$K$57,IF((SUM(Z112:Z123)-'Retirement Planning'!$I$54-'Retirement Planning'!$I$61)&gt;'Retirement Planning'!$J$56,(SUM(Z112:Z123)-'Retirement Planning'!$I$54-'Retirement Planning'!$I$61-'Retirement Planning'!$J$56)*'Retirement Planning'!$I$57+'Retirement Planning'!$K$56,(SUM(Z112:Z123)-'Retirement Planning'!$I$54-'Retirement Planning'!$I$61)*'Retirement Planning'!$I$56))))))/12,AA123)</f>
        <v>1530.8923971548663</v>
      </c>
      <c r="AB124" s="104">
        <f t="shared" ca="1" si="49"/>
        <v>0.206160704528911</v>
      </c>
      <c r="AC124" s="7">
        <f>IF(B124&lt;65,'Retirement Planning'!$J$28,0)</f>
        <v>0</v>
      </c>
      <c r="AD124" s="7">
        <f>IF(B124&lt;65,'Retirement Planning'!$J$29/12,0)</f>
        <v>0</v>
      </c>
      <c r="AE124" s="22">
        <f>'Retirement Planning'!$J$31/12</f>
        <v>58.333333333333336</v>
      </c>
      <c r="AF124" s="22">
        <f>'Retirement Planning'!$J$32/12</f>
        <v>66.666666666666671</v>
      </c>
      <c r="AG124" s="7">
        <f>IF($B124&gt;64.9,'Retirement Planning'!$J$39/12,0)</f>
        <v>183.33333333333334</v>
      </c>
      <c r="AH124" s="7">
        <f>IF($B124&gt;64.9,'Retirement Planning'!$J$40/12,0)</f>
        <v>258.33333333333331</v>
      </c>
      <c r="AI124" s="7">
        <f>IF($B124&gt;64.9,'Retirement Planning'!$J$41/12,0)</f>
        <v>558.33333333333337</v>
      </c>
      <c r="AJ124" s="7">
        <f t="shared" ca="1" si="31"/>
        <v>316.66666666666663</v>
      </c>
      <c r="AK124" s="3" t="str">
        <f t="shared" ca="1" si="32"/>
        <v>N/A</v>
      </c>
      <c r="AL124" s="6" t="str">
        <f t="shared" ca="1" si="33"/>
        <v>N/A</v>
      </c>
      <c r="AM124" s="7">
        <f t="shared" ca="1" si="34"/>
        <v>2.8421709430404007E-12</v>
      </c>
      <c r="AN124" s="7">
        <f t="shared" ca="1" si="35"/>
        <v>9731.4124635860062</v>
      </c>
      <c r="AO124" s="7">
        <f t="shared" si="36"/>
        <v>1125</v>
      </c>
    </row>
    <row r="125" spans="1:41" x14ac:dyDescent="0.2">
      <c r="A125">
        <f t="shared" si="37"/>
        <v>50</v>
      </c>
      <c r="B125" s="5">
        <f t="shared" si="38"/>
        <v>65.900000000000006</v>
      </c>
      <c r="C125" s="56">
        <f t="shared" si="39"/>
        <v>49919</v>
      </c>
      <c r="D125" s="57">
        <f ca="1">IF(AND(B124&lt;59.5,OR(B125&gt;59.5,B125=59.5)),(D124-E124+J124-K124)*(1+'Retirement Planning'!$J$23/12),(D124-E124)*(1+'Retirement Planning'!$J$23/12))</f>
        <v>302288.35182595352</v>
      </c>
      <c r="E125" s="58">
        <f t="shared" ca="1" si="26"/>
        <v>915.50791876392304</v>
      </c>
      <c r="F125" s="57">
        <f ca="1">IF(AND(OR(B125&gt;59.5,B125=59.5),B124&lt;59.5),(F124-G124+L124-M124+N124-O124)*(1+'Retirement Planning'!$J$23/12),(F124-G124)*(1+'Retirement Planning'!$J$23/12))</f>
        <v>1193889.2397200677</v>
      </c>
      <c r="G125" s="58">
        <f ca="1">IF(AND($B$10&lt;55,B125&lt;59.5),'Retirement Planning'!$J$25,IF(OR(B125&gt;59.5,B125=59.5),MAX(0,MIN(F125,IF(D125&lt;2500,((Y125+AJ125+AA125))-X125,((Y125+AJ125+AA125)*'Retirement Planning'!$J$44)-X125))),0))</f>
        <v>6014.0940955046663</v>
      </c>
      <c r="H125" s="255">
        <f ca="1">IF(MONTH(C125)=1,IF(B125&gt;69.5,F125/(INDEX('Retirement Planning'!D$1:D$264,(160+INT(B125))))/12,0),IF(F125=0,0,H124))</f>
        <v>0</v>
      </c>
      <c r="I125" s="262">
        <f t="shared" ca="1" si="27"/>
        <v>0</v>
      </c>
      <c r="J125" s="254">
        <f ca="1">IF(AND(B124&lt;59.5,OR(B125=59.5,B125&gt;59.5)),0,(J124-K124)*(1+'Retirement Planning'!$J$23/12))</f>
        <v>0</v>
      </c>
      <c r="K125" s="58">
        <f t="shared" ca="1" si="28"/>
        <v>0</v>
      </c>
      <c r="L125" s="57">
        <f>IF(AND(OR(B125&gt;59.5,B125=59.5),B124&lt;59.5),0,(L124-M124)*(1+'Retirement Planning'!$J$23/12))</f>
        <v>0</v>
      </c>
      <c r="M125" s="59">
        <f>IF(AND($B$10&lt;55,B125&lt;59.5),0,IF(B125&lt;59.5,MAX(0,MIN((($Y125+$AJ125+AA125)*'Retirement Planning'!$J$44)-$G125-$X125,L125)),0))</f>
        <v>0</v>
      </c>
      <c r="N125" s="57">
        <f ca="1">(N124-O124)*(1+'Retirement Planning'!$J$23/12)</f>
        <v>0</v>
      </c>
      <c r="O125" s="59">
        <f ca="1">IF(B125&gt;59.5,MAX(0,MIN((AA125+$Y125+$AJ125)*(IF(D125&lt;(MIN(E113:E124)+1),1,'Retirement Planning'!$J$44))-M125-$G125-$X125-(IF(D125&lt;(MIN(E113:E124)+1),D125,0)),N125)),0)</f>
        <v>0</v>
      </c>
      <c r="P125" s="57">
        <f t="shared" si="40"/>
        <v>0</v>
      </c>
      <c r="Q125" s="58">
        <f t="shared" si="41"/>
        <v>0</v>
      </c>
      <c r="R125" s="57">
        <f ca="1">(R124-S124-T124)*(1+'Retirement Planning'!$J$23/12)</f>
        <v>313206.60999584926</v>
      </c>
      <c r="S125" s="58">
        <f t="shared" ca="1" si="42"/>
        <v>808.33333333333337</v>
      </c>
      <c r="T125" s="273">
        <f t="shared" ca="1" si="29"/>
        <v>-2.2737367544323206E-13</v>
      </c>
      <c r="U125" s="57">
        <f ca="1">(U124-V124)*(1+'Retirement Planning'!$J$23/12)</f>
        <v>251905.6650837895</v>
      </c>
      <c r="V125" s="24">
        <f ca="1">IF(AND($B$10&lt;55,B125&lt;59.5),MIN(U125,MAX(0,(Y125+AA125+AJ125-G125)*'Retirement Planning'!$J$45)),IF(B125&lt;59.5,(MIN(U125,MAX(0,((Y125+AA125+AJ125)-G125-M125)*'Retirement Planning'!$J$45))),MIN(U125,MAX(0,(Y125+AA125+AJ125-G125-M125-K125-X125)*'Retirement Planning'!$J$45))))</f>
        <v>779.87711598408271</v>
      </c>
      <c r="W125" s="7">
        <f t="shared" ca="1" si="30"/>
        <v>2061289.8666256599</v>
      </c>
      <c r="X125" s="7">
        <f>(IF(B125&gt;'Retirement Planning'!$J$34,IF('Retirement Planning'!$J$34=70,'Retirement Planning'!$J$37/12,IF('Retirement Planning'!$J$34=67,'Retirement Planning'!$J$36/12,'Retirement Planning'!$J$35/12)),0))*'Retirement Planning'!$J$38</f>
        <v>1213.6000000000001</v>
      </c>
      <c r="Y125" s="7">
        <f ca="1">'Retirement Planning'!$F$35*((1+'Retirement Planning'!$J$24)^(YEAR('Projected Retirement Drawdown'!C125)-YEAR(TODAY())))</f>
        <v>7075.5200664311405</v>
      </c>
      <c r="Z125" s="7">
        <f ca="1">G125+M125+O125+0.85*X125+V125*'Retirement Planning'!$J$46+T125</f>
        <v>7474.586509295912</v>
      </c>
      <c r="AA125" s="7">
        <f ca="1">IF(MONTH(C125)=1,(((MIN(MAX(0,((SUM(Z113:Z124)-'Retirement Planning'!$I$53-'Retirement Planning'!$I$54)-'Retirement Planning'!$J$51)*'Retirement Planning'!$I$52))))+(MIN(MAX(0,((SUM(Z113:Z124)-'Retirement Planning'!$I$53-'Retirement Planning'!$I$54)-'Retirement Planning'!$J$50)*'Retirement Planning'!$I$51),('Retirement Planning'!$J$51-'Retirement Planning'!$J$50)*'Retirement Planning'!$I$51))+(MIN(MAX(0,((SUM(Z113:Z124)-'Retirement Planning'!$I$53-'Retirement Planning'!$I$54)-'Retirement Planning'!$J$49)*'Retirement Planning'!$I$50),('Retirement Planning'!$J$50-'Retirement Planning'!$J$49)*'Retirement Planning'!$I$50)+MIN(MAX(0,((SUM(Z113:Z124)-'Retirement Planning'!$I$53-'Retirement Planning'!$I$54)-'Retirement Planning'!$J$48)*'Retirement Planning'!$I$49),('Retirement Planning'!$J$49-'Retirement Planning'!$J$48)*'Retirement Planning'!$I$49)+MIN(((SUM(Z113:Z124)-'Retirement Planning'!$I$53-'Retirement Planning'!$I$54))*'Retirement Planning'!$I$48,('Retirement Planning'!$J$48)*'Retirement Planning'!$I$48))+(IF((SUM(Z113:Z124)-'Retirement Planning'!$I$54-'Retirement Planning'!$I$61)&gt;'Retirement Planning'!$J$59,(SUM(Z113:Z124)-'Retirement Planning'!$I$54-'Retirement Planning'!$I$61-'Retirement Planning'!$J$59)*'Retirement Planning'!$I$60+'Retirement Planning'!$K$59,IF((SUM(Z113:Z124)-'Retirement Planning'!$I$54-'Retirement Planning'!$I$61)&gt;'Retirement Planning'!$J$58,(SUM(Z113:Z124)-'Retirement Planning'!$I$54-'Retirement Planning'!$I$61-'Retirement Planning'!$J$58)*'Retirement Planning'!$I$59+'Retirement Planning'!$K$58,IF((SUM(Z113:Z124)-'Retirement Planning'!$I$54-'Retirement Planning'!$I$61)&gt;'Retirement Planning'!$J$57,(SUM(Z113:Z124)-'Retirement Planning'!$I$54-'Retirement Planning'!$I$61-'Retirement Planning'!$J$57)*'Retirement Planning'!$I$58+'Retirement Planning'!$K$57,IF((SUM(Z113:Z124)-'Retirement Planning'!$I$54-'Retirement Planning'!$I$61)&gt;'Retirement Planning'!$J$56,(SUM(Z113:Z124)-'Retirement Planning'!$I$54-'Retirement Planning'!$I$61-'Retirement Planning'!$J$56)*'Retirement Planning'!$I$57+'Retirement Planning'!$K$56,(SUM(Z113:Z124)-'Retirement Planning'!$I$54-'Retirement Planning'!$I$61)*'Retirement Planning'!$I$56))))))/12,AA124)</f>
        <v>1530.8923971548663</v>
      </c>
      <c r="AB125" s="104">
        <f t="shared" ca="1" si="49"/>
        <v>0.206160704528911</v>
      </c>
      <c r="AC125" s="7">
        <f>IF(B125&lt;65,'Retirement Planning'!$J$28,0)</f>
        <v>0</v>
      </c>
      <c r="AD125" s="7">
        <f>IF(B125&lt;65,'Retirement Planning'!$J$29/12,0)</f>
        <v>0</v>
      </c>
      <c r="AE125" s="22">
        <f>'Retirement Planning'!$J$31/12</f>
        <v>58.333333333333336</v>
      </c>
      <c r="AF125" s="22">
        <f>'Retirement Planning'!$J$32/12</f>
        <v>66.666666666666671</v>
      </c>
      <c r="AG125" s="7">
        <f>IF($B125&gt;64.9,'Retirement Planning'!$J$39/12,0)</f>
        <v>183.33333333333334</v>
      </c>
      <c r="AH125" s="7">
        <f>IF($B125&gt;64.9,'Retirement Planning'!$J$40/12,0)</f>
        <v>258.33333333333331</v>
      </c>
      <c r="AI125" s="7">
        <f>IF($B125&gt;64.9,'Retirement Planning'!$J$41/12,0)</f>
        <v>558.33333333333337</v>
      </c>
      <c r="AJ125" s="7">
        <f t="shared" ca="1" si="31"/>
        <v>316.66666666666663</v>
      </c>
      <c r="AK125" s="3" t="str">
        <f t="shared" ca="1" si="32"/>
        <v>N/A</v>
      </c>
      <c r="AL125" s="6" t="str">
        <f t="shared" ca="1" si="33"/>
        <v>N/A</v>
      </c>
      <c r="AM125" s="7">
        <f t="shared" ca="1" si="34"/>
        <v>2.8421709430404007E-12</v>
      </c>
      <c r="AN125" s="7">
        <f t="shared" ca="1" si="35"/>
        <v>9731.4124635860062</v>
      </c>
      <c r="AO125" s="7">
        <f t="shared" si="36"/>
        <v>1125</v>
      </c>
    </row>
    <row r="126" spans="1:41" x14ac:dyDescent="0.2">
      <c r="A126">
        <f t="shared" si="37"/>
        <v>50</v>
      </c>
      <c r="B126" s="5">
        <f t="shared" si="38"/>
        <v>66</v>
      </c>
      <c r="C126" s="56">
        <f t="shared" si="39"/>
        <v>49949</v>
      </c>
      <c r="D126" s="57">
        <f ca="1">IF(AND(B125&lt;59.5,OR(B126&gt;59.5,B126=59.5)),(D125-E125+J125-K125)*(1+'Retirement Planning'!$J$23/12),(D125-E125)*(1+'Retirement Planning'!$J$23/12))</f>
        <v>303507.5682181989</v>
      </c>
      <c r="E126" s="58">
        <f t="shared" ca="1" si="26"/>
        <v>915.50791876392304</v>
      </c>
      <c r="F126" s="57">
        <f ca="1">IF(AND(OR(B126&gt;59.5,B126=59.5),B125&lt;59.5),(F125-G125+L125-M125+N125-O125)*(1+'Retirement Planning'!$J$23/12),(F125-G125)*(1+'Retirement Planning'!$J$23/12))</f>
        <v>1196289.2612394039</v>
      </c>
      <c r="G126" s="58">
        <f ca="1">IF(AND($B$10&lt;55,B126&lt;59.5),'Retirement Planning'!$J$25,IF(OR(B126&gt;59.5,B126=59.5),MAX(0,MIN(F126,IF(D126&lt;2500,((Y126+AJ126+AA126))-X126,((Y126+AJ126+AA126)*'Retirement Planning'!$J$44)-X126))),0))</f>
        <v>6014.0940955046663</v>
      </c>
      <c r="H126" s="255">
        <f ca="1">IF(MONTH(C126)=1,IF(B126&gt;69.5,F126/(INDEX('Retirement Planning'!D$1:D$264,(160+INT(B126))))/12,0),IF(F126=0,0,H125))</f>
        <v>0</v>
      </c>
      <c r="I126" s="262">
        <f t="shared" ca="1" si="27"/>
        <v>0</v>
      </c>
      <c r="J126" s="254">
        <f ca="1">IF(AND(B125&lt;59.5,OR(B126=59.5,B126&gt;59.5)),0,(J125-K125)*(1+'Retirement Planning'!$J$23/12))</f>
        <v>0</v>
      </c>
      <c r="K126" s="58">
        <f t="shared" ca="1" si="28"/>
        <v>0</v>
      </c>
      <c r="L126" s="57">
        <f>IF(AND(OR(B126&gt;59.5,B126=59.5),B125&lt;59.5),0,(L125-M125)*(1+'Retirement Planning'!$J$23/12))</f>
        <v>0</v>
      </c>
      <c r="M126" s="59">
        <f>IF(AND($B$10&lt;55,B126&lt;59.5),0,IF(B126&lt;59.5,MAX(0,MIN((($Y126+$AJ126+AA126)*'Retirement Planning'!$J$44)-$G126-$X126,L126)),0))</f>
        <v>0</v>
      </c>
      <c r="N126" s="57">
        <f ca="1">(N125-O125)*(1+'Retirement Planning'!$J$23/12)</f>
        <v>0</v>
      </c>
      <c r="O126" s="59">
        <f ca="1">IF(B126&gt;59.5,MAX(0,MIN((AA126+$Y126+$AJ126)*(IF(D126&lt;(MIN(E114:E125)+1),1,'Retirement Planning'!$J$44))-M126-$G126-$X126-(IF(D126&lt;(MIN(E114:E125)+1),D126,0)),N126)),0)</f>
        <v>0</v>
      </c>
      <c r="P126" s="57">
        <f t="shared" si="40"/>
        <v>0</v>
      </c>
      <c r="Q126" s="58">
        <f t="shared" si="41"/>
        <v>0</v>
      </c>
      <c r="R126" s="57">
        <f ca="1">(R125-S125-T125)*(1+'Retirement Planning'!$J$23/12)</f>
        <v>314611.09778887546</v>
      </c>
      <c r="S126" s="58">
        <f t="shared" ca="1" si="42"/>
        <v>808.33333333333337</v>
      </c>
      <c r="T126" s="273">
        <f t="shared" ca="1" si="29"/>
        <v>-2.2737367544323206E-13</v>
      </c>
      <c r="U126" s="57">
        <f ca="1">(U125-V125)*(1+'Retirement Planning'!$J$23/12)</f>
        <v>252904.59563257737</v>
      </c>
      <c r="V126" s="24">
        <f ca="1">IF(AND($B$10&lt;55,B126&lt;59.5),MIN(U126,MAX(0,(Y126+AA126+AJ126-G126)*'Retirement Planning'!$J$45)),IF(B126&lt;59.5,(MIN(U126,MAX(0,((Y126+AA126+AJ126)-G126-M126)*'Retirement Planning'!$J$45))),MIN(U126,MAX(0,(Y126+AA126+AJ126-G126-M126-K126-X126)*'Retirement Planning'!$J$45))))</f>
        <v>779.87711598408271</v>
      </c>
      <c r="W126" s="7">
        <f t="shared" ca="1" si="30"/>
        <v>2067312.5228790555</v>
      </c>
      <c r="X126" s="7">
        <f>(IF(B126&gt;'Retirement Planning'!$J$34,IF('Retirement Planning'!$J$34=70,'Retirement Planning'!$J$37/12,IF('Retirement Planning'!$J$34=67,'Retirement Planning'!$J$36/12,'Retirement Planning'!$J$35/12)),0))*'Retirement Planning'!$J$38</f>
        <v>1213.6000000000001</v>
      </c>
      <c r="Y126" s="7">
        <f ca="1">'Retirement Planning'!$F$35*((1+'Retirement Planning'!$J$24)^(YEAR('Projected Retirement Drawdown'!C126)-YEAR(TODAY())))</f>
        <v>7075.5200664311405</v>
      </c>
      <c r="Z126" s="7">
        <f ca="1">G126+M126+O126+0.85*X126+V126*'Retirement Planning'!$J$46+T126</f>
        <v>7474.586509295912</v>
      </c>
      <c r="AA126" s="7">
        <f ca="1">IF(MONTH(C126)=1,(((MIN(MAX(0,((SUM(Z114:Z125)-'Retirement Planning'!$I$53-'Retirement Planning'!$I$54)-'Retirement Planning'!$J$51)*'Retirement Planning'!$I$52))))+(MIN(MAX(0,((SUM(Z114:Z125)-'Retirement Planning'!$I$53-'Retirement Planning'!$I$54)-'Retirement Planning'!$J$50)*'Retirement Planning'!$I$51),('Retirement Planning'!$J$51-'Retirement Planning'!$J$50)*'Retirement Planning'!$I$51))+(MIN(MAX(0,((SUM(Z114:Z125)-'Retirement Planning'!$I$53-'Retirement Planning'!$I$54)-'Retirement Planning'!$J$49)*'Retirement Planning'!$I$50),('Retirement Planning'!$J$50-'Retirement Planning'!$J$49)*'Retirement Planning'!$I$50)+MIN(MAX(0,((SUM(Z114:Z125)-'Retirement Planning'!$I$53-'Retirement Planning'!$I$54)-'Retirement Planning'!$J$48)*'Retirement Planning'!$I$49),('Retirement Planning'!$J$49-'Retirement Planning'!$J$48)*'Retirement Planning'!$I$49)+MIN(((SUM(Z114:Z125)-'Retirement Planning'!$I$53-'Retirement Planning'!$I$54))*'Retirement Planning'!$I$48,('Retirement Planning'!$J$48)*'Retirement Planning'!$I$48))+(IF((SUM(Z114:Z125)-'Retirement Planning'!$I$54-'Retirement Planning'!$I$61)&gt;'Retirement Planning'!$J$59,(SUM(Z114:Z125)-'Retirement Planning'!$I$54-'Retirement Planning'!$I$61-'Retirement Planning'!$J$59)*'Retirement Planning'!$I$60+'Retirement Planning'!$K$59,IF((SUM(Z114:Z125)-'Retirement Planning'!$I$54-'Retirement Planning'!$I$61)&gt;'Retirement Planning'!$J$58,(SUM(Z114:Z125)-'Retirement Planning'!$I$54-'Retirement Planning'!$I$61-'Retirement Planning'!$J$58)*'Retirement Planning'!$I$59+'Retirement Planning'!$K$58,IF((SUM(Z114:Z125)-'Retirement Planning'!$I$54-'Retirement Planning'!$I$61)&gt;'Retirement Planning'!$J$57,(SUM(Z114:Z125)-'Retirement Planning'!$I$54-'Retirement Planning'!$I$61-'Retirement Planning'!$J$57)*'Retirement Planning'!$I$58+'Retirement Planning'!$K$57,IF((SUM(Z114:Z125)-'Retirement Planning'!$I$54-'Retirement Planning'!$I$61)&gt;'Retirement Planning'!$J$56,(SUM(Z114:Z125)-'Retirement Planning'!$I$54-'Retirement Planning'!$I$61-'Retirement Planning'!$J$56)*'Retirement Planning'!$I$57+'Retirement Planning'!$K$56,(SUM(Z114:Z125)-'Retirement Planning'!$I$54-'Retirement Planning'!$I$61)*'Retirement Planning'!$I$56))))))/12,AA125)</f>
        <v>1530.8923971548663</v>
      </c>
      <c r="AB126" s="104">
        <f t="shared" ca="1" si="49"/>
        <v>0.206160704528911</v>
      </c>
      <c r="AC126" s="7">
        <f>IF(B126&lt;65,'Retirement Planning'!$J$28,0)</f>
        <v>0</v>
      </c>
      <c r="AD126" s="7">
        <f>IF(B126&lt;65,'Retirement Planning'!$J$29/12,0)</f>
        <v>0</v>
      </c>
      <c r="AE126" s="22">
        <f>'Retirement Planning'!$J$31/12</f>
        <v>58.333333333333336</v>
      </c>
      <c r="AF126" s="22">
        <f>'Retirement Planning'!$J$32/12</f>
        <v>66.666666666666671</v>
      </c>
      <c r="AG126" s="7">
        <f>IF($B126&gt;64.9,'Retirement Planning'!$J$39/12,0)</f>
        <v>183.33333333333334</v>
      </c>
      <c r="AH126" s="7">
        <f>IF($B126&gt;64.9,'Retirement Planning'!$J$40/12,0)</f>
        <v>258.33333333333331</v>
      </c>
      <c r="AI126" s="7">
        <f>IF($B126&gt;64.9,'Retirement Planning'!$J$41/12,0)</f>
        <v>558.33333333333337</v>
      </c>
      <c r="AJ126" s="7">
        <f t="shared" ca="1" si="31"/>
        <v>316.66666666666663</v>
      </c>
      <c r="AK126" s="3" t="str">
        <f t="shared" ca="1" si="32"/>
        <v>N/A</v>
      </c>
      <c r="AL126" s="6" t="str">
        <f t="shared" ca="1" si="33"/>
        <v>N/A</v>
      </c>
      <c r="AM126" s="7">
        <f t="shared" ca="1" si="34"/>
        <v>2.8421709430404007E-12</v>
      </c>
      <c r="AN126" s="7">
        <f t="shared" ca="1" si="35"/>
        <v>9731.4124635860062</v>
      </c>
      <c r="AO126" s="7">
        <f t="shared" si="36"/>
        <v>1125</v>
      </c>
    </row>
    <row r="127" spans="1:41" x14ac:dyDescent="0.2">
      <c r="A127">
        <f t="shared" si="37"/>
        <v>50</v>
      </c>
      <c r="B127" s="5">
        <f t="shared" si="38"/>
        <v>66</v>
      </c>
      <c r="C127" s="56">
        <f t="shared" si="39"/>
        <v>49980</v>
      </c>
      <c r="D127" s="57">
        <f ca="1">IF(AND(B126&lt;59.5,OR(B127&gt;59.5,B127=59.5)),(D126-E126+J126-K126)*(1+'Retirement Planning'!$J$23/12),(D126-E126)*(1+'Retirement Planning'!$J$23/12))</f>
        <v>304735.42072655598</v>
      </c>
      <c r="E127" s="58">
        <f t="shared" ca="1" si="26"/>
        <v>915.50791876392304</v>
      </c>
      <c r="F127" s="57">
        <f ca="1">IF(AND(OR(B127&gt;59.5,B127=59.5),B126&lt;59.5),(F126-G126+L126-M126+N126-O126)*(1+'Retirement Planning'!$J$23/12),(F126-G126)*(1+'Retirement Planning'!$J$23/12))</f>
        <v>1198706.2829111686</v>
      </c>
      <c r="G127" s="58">
        <f ca="1">IF(AND($B$10&lt;55,B127&lt;59.5),'Retirement Planning'!$J$25,IF(OR(B127&gt;59.5,B127=59.5),MAX(0,MIN(F127,IF(D127&lt;2500,((Y127+AJ127+AA127))-X127,((Y127+AJ127+AA127)*'Retirement Planning'!$J$44)-X127))),0))</f>
        <v>6014.0940955046663</v>
      </c>
      <c r="H127" s="255">
        <f ca="1">IF(MONTH(C127)=1,IF(B127&gt;69.5,F127/(INDEX('Retirement Planning'!D$1:D$264,(160+INT(B127))))/12,0),IF(F127=0,0,H126))</f>
        <v>0</v>
      </c>
      <c r="I127" s="262">
        <f t="shared" ca="1" si="27"/>
        <v>0</v>
      </c>
      <c r="J127" s="254">
        <f ca="1">IF(AND(B126&lt;59.5,OR(B127=59.5,B127&gt;59.5)),0,(J126-K126)*(1+'Retirement Planning'!$J$23/12))</f>
        <v>0</v>
      </c>
      <c r="K127" s="58">
        <f t="shared" ca="1" si="28"/>
        <v>0</v>
      </c>
      <c r="L127" s="57">
        <f>IF(AND(OR(B127&gt;59.5,B127=59.5),B126&lt;59.5),0,(L126-M126)*(1+'Retirement Planning'!$J$23/12))</f>
        <v>0</v>
      </c>
      <c r="M127" s="59">
        <f>IF(AND($B$10&lt;55,B127&lt;59.5),0,IF(B127&lt;59.5,MAX(0,MIN((($Y127+$AJ127+AA127)*'Retirement Planning'!$J$44)-$G127-$X127,L127)),0))</f>
        <v>0</v>
      </c>
      <c r="N127" s="57">
        <f ca="1">(N126-O126)*(1+'Retirement Planning'!$J$23/12)</f>
        <v>0</v>
      </c>
      <c r="O127" s="59">
        <f ca="1">IF(B127&gt;59.5,MAX(0,MIN((AA127+$Y127+$AJ127)*(IF(D127&lt;(MIN(E115:E126)+1),1,'Retirement Planning'!$J$44))-M127-$G127-$X127-(IF(D127&lt;(MIN(E115:E126)+1),D127,0)),N127)),0)</f>
        <v>0</v>
      </c>
      <c r="P127" s="57">
        <f t="shared" si="40"/>
        <v>0</v>
      </c>
      <c r="Q127" s="58">
        <f t="shared" si="41"/>
        <v>0</v>
      </c>
      <c r="R127" s="57">
        <f ca="1">(R126-S126-T126)*(1+'Retirement Planning'!$J$23/12)</f>
        <v>316025.53403710225</v>
      </c>
      <c r="S127" s="58">
        <f t="shared" ca="1" si="42"/>
        <v>808.33333333333337</v>
      </c>
      <c r="T127" s="273">
        <f t="shared" ca="1" si="29"/>
        <v>-2.2737367544323206E-13</v>
      </c>
      <c r="U127" s="57">
        <f ca="1">(U126-V126)*(1+'Retirement Planning'!$J$23/12)</f>
        <v>253910.60193941917</v>
      </c>
      <c r="V127" s="24">
        <f ca="1">IF(AND($B$10&lt;55,B127&lt;59.5),MIN(U127,MAX(0,(Y127+AA127+AJ127-G127)*'Retirement Planning'!$J$45)),IF(B127&lt;59.5,(MIN(U127,MAX(0,((Y127+AA127+AJ127)-G127-M127)*'Retirement Planning'!$J$45))),MIN(U127,MAX(0,(Y127+AA127+AJ127-G127-M127-K127-X127)*'Retirement Planning'!$J$45))))</f>
        <v>779.87711598408271</v>
      </c>
      <c r="W127" s="7">
        <f t="shared" ca="1" si="30"/>
        <v>2073377.839614246</v>
      </c>
      <c r="X127" s="7">
        <f>(IF(B127&gt;'Retirement Planning'!$J$34,IF('Retirement Planning'!$J$34=70,'Retirement Planning'!$J$37/12,IF('Retirement Planning'!$J$34=67,'Retirement Planning'!$J$36/12,'Retirement Planning'!$J$35/12)),0))*'Retirement Planning'!$J$38</f>
        <v>1213.6000000000001</v>
      </c>
      <c r="Y127" s="7">
        <f ca="1">'Retirement Planning'!$F$35*((1+'Retirement Planning'!$J$24)^(YEAR('Projected Retirement Drawdown'!C127)-YEAR(TODAY())))</f>
        <v>7075.5200664311405</v>
      </c>
      <c r="Z127" s="7">
        <f ca="1">G127+M127+O127+0.85*X127+V127*'Retirement Planning'!$J$46+T127</f>
        <v>7474.586509295912</v>
      </c>
      <c r="AA127" s="7">
        <f ca="1">IF(MONTH(C127)=1,(((MIN(MAX(0,((SUM(Z115:Z126)-'Retirement Planning'!$I$53-'Retirement Planning'!$I$54)-'Retirement Planning'!$J$51)*'Retirement Planning'!$I$52))))+(MIN(MAX(0,((SUM(Z115:Z126)-'Retirement Planning'!$I$53-'Retirement Planning'!$I$54)-'Retirement Planning'!$J$50)*'Retirement Planning'!$I$51),('Retirement Planning'!$J$51-'Retirement Planning'!$J$50)*'Retirement Planning'!$I$51))+(MIN(MAX(0,((SUM(Z115:Z126)-'Retirement Planning'!$I$53-'Retirement Planning'!$I$54)-'Retirement Planning'!$J$49)*'Retirement Planning'!$I$50),('Retirement Planning'!$J$50-'Retirement Planning'!$J$49)*'Retirement Planning'!$I$50)+MIN(MAX(0,((SUM(Z115:Z126)-'Retirement Planning'!$I$53-'Retirement Planning'!$I$54)-'Retirement Planning'!$J$48)*'Retirement Planning'!$I$49),('Retirement Planning'!$J$49-'Retirement Planning'!$J$48)*'Retirement Planning'!$I$49)+MIN(((SUM(Z115:Z126)-'Retirement Planning'!$I$53-'Retirement Planning'!$I$54))*'Retirement Planning'!$I$48,('Retirement Planning'!$J$48)*'Retirement Planning'!$I$48))+(IF((SUM(Z115:Z126)-'Retirement Planning'!$I$54-'Retirement Planning'!$I$61)&gt;'Retirement Planning'!$J$59,(SUM(Z115:Z126)-'Retirement Planning'!$I$54-'Retirement Planning'!$I$61-'Retirement Planning'!$J$59)*'Retirement Planning'!$I$60+'Retirement Planning'!$K$59,IF((SUM(Z115:Z126)-'Retirement Planning'!$I$54-'Retirement Planning'!$I$61)&gt;'Retirement Planning'!$J$58,(SUM(Z115:Z126)-'Retirement Planning'!$I$54-'Retirement Planning'!$I$61-'Retirement Planning'!$J$58)*'Retirement Planning'!$I$59+'Retirement Planning'!$K$58,IF((SUM(Z115:Z126)-'Retirement Planning'!$I$54-'Retirement Planning'!$I$61)&gt;'Retirement Planning'!$J$57,(SUM(Z115:Z126)-'Retirement Planning'!$I$54-'Retirement Planning'!$I$61-'Retirement Planning'!$J$57)*'Retirement Planning'!$I$58+'Retirement Planning'!$K$57,IF((SUM(Z115:Z126)-'Retirement Planning'!$I$54-'Retirement Planning'!$I$61)&gt;'Retirement Planning'!$J$56,(SUM(Z115:Z126)-'Retirement Planning'!$I$54-'Retirement Planning'!$I$61-'Retirement Planning'!$J$56)*'Retirement Planning'!$I$57+'Retirement Planning'!$K$56,(SUM(Z115:Z126)-'Retirement Planning'!$I$54-'Retirement Planning'!$I$61)*'Retirement Planning'!$I$56))))))/12,AA126)</f>
        <v>1530.8923971548663</v>
      </c>
      <c r="AB127" s="104">
        <f t="shared" ca="1" si="49"/>
        <v>0.206160704528911</v>
      </c>
      <c r="AC127" s="7">
        <f>IF(B127&lt;65,'Retirement Planning'!$J$28,0)</f>
        <v>0</v>
      </c>
      <c r="AD127" s="7">
        <f>IF(B127&lt;65,'Retirement Planning'!$J$29/12,0)</f>
        <v>0</v>
      </c>
      <c r="AE127" s="22">
        <f>'Retirement Planning'!$J$31/12</f>
        <v>58.333333333333336</v>
      </c>
      <c r="AF127" s="22">
        <f>'Retirement Planning'!$J$32/12</f>
        <v>66.666666666666671</v>
      </c>
      <c r="AG127" s="7">
        <f>IF($B127&gt;64.9,'Retirement Planning'!$J$39/12,0)</f>
        <v>183.33333333333334</v>
      </c>
      <c r="AH127" s="7">
        <f>IF($B127&gt;64.9,'Retirement Planning'!$J$40/12,0)</f>
        <v>258.33333333333331</v>
      </c>
      <c r="AI127" s="7">
        <f>IF($B127&gt;64.9,'Retirement Planning'!$J$41/12,0)</f>
        <v>558.33333333333337</v>
      </c>
      <c r="AJ127" s="7">
        <f t="shared" ca="1" si="31"/>
        <v>316.66666666666663</v>
      </c>
      <c r="AK127" s="3" t="str">
        <f t="shared" ca="1" si="32"/>
        <v>N/A</v>
      </c>
      <c r="AL127" s="6" t="str">
        <f t="shared" ca="1" si="33"/>
        <v>N/A</v>
      </c>
      <c r="AM127" s="7">
        <f t="shared" ca="1" si="34"/>
        <v>2.8421709430404007E-12</v>
      </c>
      <c r="AN127" s="7">
        <f t="shared" ca="1" si="35"/>
        <v>9731.4124635860062</v>
      </c>
      <c r="AO127" s="7">
        <f t="shared" si="36"/>
        <v>1125</v>
      </c>
    </row>
    <row r="128" spans="1:41" x14ac:dyDescent="0.2">
      <c r="A128">
        <f t="shared" si="37"/>
        <v>50</v>
      </c>
      <c r="B128" s="5">
        <f t="shared" si="38"/>
        <v>66.099999999999994</v>
      </c>
      <c r="C128" s="56">
        <f t="shared" si="39"/>
        <v>50010</v>
      </c>
      <c r="D128" s="57">
        <f ca="1">IF(AND(B127&lt;59.5,OR(B128&gt;59.5,B128=59.5)),(D127-E127+J127-K127)*(1+'Retirement Planning'!$J$23/12),(D127-E127)*(1+'Retirement Planning'!$J$23/12))</f>
        <v>305971.97052351391</v>
      </c>
      <c r="E128" s="58">
        <f t="shared" ca="1" si="26"/>
        <v>915.50791876392304</v>
      </c>
      <c r="F128" s="57">
        <f ca="1">IF(AND(OR(B128&gt;59.5,B128=59.5),B127&lt;59.5),(F127-G127+L127-M127+N127-O127)*(1+'Retirement Planning'!$J$23/12),(F127-G127)*(1+'Retirement Planning'!$J$23/12))</f>
        <v>1201140.4251531083</v>
      </c>
      <c r="G128" s="58">
        <f ca="1">IF(AND($B$10&lt;55,B128&lt;59.5),'Retirement Planning'!$J$25,IF(OR(B128&gt;59.5,B128=59.5),MAX(0,MIN(F128,IF(D128&lt;2500,((Y128+AJ128+AA128))-X128,((Y128+AJ128+AA128)*'Retirement Planning'!$J$44)-X128))),0))</f>
        <v>6014.0940955046663</v>
      </c>
      <c r="H128" s="255">
        <f ca="1">IF(MONTH(C128)=1,IF(B128&gt;69.5,F128/(INDEX('Retirement Planning'!D$1:D$264,(160+INT(B128))))/12,0),IF(F128=0,0,H127))</f>
        <v>0</v>
      </c>
      <c r="I128" s="262">
        <f t="shared" ca="1" si="27"/>
        <v>0</v>
      </c>
      <c r="J128" s="254">
        <f ca="1">IF(AND(B127&lt;59.5,OR(B128=59.5,B128&gt;59.5)),0,(J127-K127)*(1+'Retirement Planning'!$J$23/12))</f>
        <v>0</v>
      </c>
      <c r="K128" s="58">
        <f t="shared" ca="1" si="28"/>
        <v>0</v>
      </c>
      <c r="L128" s="57">
        <f>IF(AND(OR(B128&gt;59.5,B128=59.5),B127&lt;59.5),0,(L127-M127)*(1+'Retirement Planning'!$J$23/12))</f>
        <v>0</v>
      </c>
      <c r="M128" s="59">
        <f>IF(AND($B$10&lt;55,B128&lt;59.5),0,IF(B128&lt;59.5,MAX(0,MIN((($Y128+$AJ128+AA128)*'Retirement Planning'!$J$44)-$G128-$X128,L128)),0))</f>
        <v>0</v>
      </c>
      <c r="N128" s="57">
        <f ca="1">(N127-O127)*(1+'Retirement Planning'!$J$23/12)</f>
        <v>0</v>
      </c>
      <c r="O128" s="59">
        <f ca="1">IF(B128&gt;59.5,MAX(0,MIN((AA128+$Y128+$AJ128)*(IF(D128&lt;(MIN(E116:E127)+1),1,'Retirement Planning'!$J$44))-M128-$G128-$X128-(IF(D128&lt;(MIN(E116:E127)+1),D128,0)),N128)),0)</f>
        <v>0</v>
      </c>
      <c r="P128" s="57">
        <f t="shared" si="40"/>
        <v>0</v>
      </c>
      <c r="Q128" s="58">
        <f t="shared" si="41"/>
        <v>0</v>
      </c>
      <c r="R128" s="57">
        <f ca="1">(R127-S127-T127)*(1+'Retirement Planning'!$J$23/12)</f>
        <v>317449.98920875398</v>
      </c>
      <c r="S128" s="58">
        <f t="shared" ca="1" si="42"/>
        <v>808.33333333333337</v>
      </c>
      <c r="T128" s="273">
        <f t="shared" ca="1" si="29"/>
        <v>-2.2737367544323206E-13</v>
      </c>
      <c r="U128" s="57">
        <f ca="1">(U127-V127)*(1+'Retirement Planning'!$J$23/12)</f>
        <v>254923.73412426776</v>
      </c>
      <c r="V128" s="24">
        <f ca="1">IF(AND($B$10&lt;55,B128&lt;59.5),MIN(U128,MAX(0,(Y128+AA128+AJ128-G128)*'Retirement Planning'!$J$45)),IF(B128&lt;59.5,(MIN(U128,MAX(0,((Y128+AA128+AJ128)-G128-M128)*'Retirement Planning'!$J$45))),MIN(U128,MAX(0,(Y128+AA128+AJ128-G128-M128-K128-X128)*'Retirement Planning'!$J$45))))</f>
        <v>779.87711598408271</v>
      </c>
      <c r="W128" s="7">
        <f t="shared" ca="1" si="30"/>
        <v>2079486.1190096438</v>
      </c>
      <c r="X128" s="7">
        <f>(IF(B128&gt;'Retirement Planning'!$J$34,IF('Retirement Planning'!$J$34=70,'Retirement Planning'!$J$37/12,IF('Retirement Planning'!$J$34=67,'Retirement Planning'!$J$36/12,'Retirement Planning'!$J$35/12)),0))*'Retirement Planning'!$J$38</f>
        <v>1213.6000000000001</v>
      </c>
      <c r="Y128" s="7">
        <f ca="1">'Retirement Planning'!$F$35*((1+'Retirement Planning'!$J$24)^(YEAR('Projected Retirement Drawdown'!C128)-YEAR(TODAY())))</f>
        <v>7075.5200664311405</v>
      </c>
      <c r="Z128" s="7">
        <f ca="1">G128+M128+O128+0.85*X128+V128*'Retirement Planning'!$J$46+T128</f>
        <v>7474.586509295912</v>
      </c>
      <c r="AA128" s="7">
        <f ca="1">IF(MONTH(C128)=1,(((MIN(MAX(0,((SUM(Z116:Z127)-'Retirement Planning'!$I$53-'Retirement Planning'!$I$54)-'Retirement Planning'!$J$51)*'Retirement Planning'!$I$52))))+(MIN(MAX(0,((SUM(Z116:Z127)-'Retirement Planning'!$I$53-'Retirement Planning'!$I$54)-'Retirement Planning'!$J$50)*'Retirement Planning'!$I$51),('Retirement Planning'!$J$51-'Retirement Planning'!$J$50)*'Retirement Planning'!$I$51))+(MIN(MAX(0,((SUM(Z116:Z127)-'Retirement Planning'!$I$53-'Retirement Planning'!$I$54)-'Retirement Planning'!$J$49)*'Retirement Planning'!$I$50),('Retirement Planning'!$J$50-'Retirement Planning'!$J$49)*'Retirement Planning'!$I$50)+MIN(MAX(0,((SUM(Z116:Z127)-'Retirement Planning'!$I$53-'Retirement Planning'!$I$54)-'Retirement Planning'!$J$48)*'Retirement Planning'!$I$49),('Retirement Planning'!$J$49-'Retirement Planning'!$J$48)*'Retirement Planning'!$I$49)+MIN(((SUM(Z116:Z127)-'Retirement Planning'!$I$53-'Retirement Planning'!$I$54))*'Retirement Planning'!$I$48,('Retirement Planning'!$J$48)*'Retirement Planning'!$I$48))+(IF((SUM(Z116:Z127)-'Retirement Planning'!$I$54-'Retirement Planning'!$I$61)&gt;'Retirement Planning'!$J$59,(SUM(Z116:Z127)-'Retirement Planning'!$I$54-'Retirement Planning'!$I$61-'Retirement Planning'!$J$59)*'Retirement Planning'!$I$60+'Retirement Planning'!$K$59,IF((SUM(Z116:Z127)-'Retirement Planning'!$I$54-'Retirement Planning'!$I$61)&gt;'Retirement Planning'!$J$58,(SUM(Z116:Z127)-'Retirement Planning'!$I$54-'Retirement Planning'!$I$61-'Retirement Planning'!$J$58)*'Retirement Planning'!$I$59+'Retirement Planning'!$K$58,IF((SUM(Z116:Z127)-'Retirement Planning'!$I$54-'Retirement Planning'!$I$61)&gt;'Retirement Planning'!$J$57,(SUM(Z116:Z127)-'Retirement Planning'!$I$54-'Retirement Planning'!$I$61-'Retirement Planning'!$J$57)*'Retirement Planning'!$I$58+'Retirement Planning'!$K$57,IF((SUM(Z116:Z127)-'Retirement Planning'!$I$54-'Retirement Planning'!$I$61)&gt;'Retirement Planning'!$J$56,(SUM(Z116:Z127)-'Retirement Planning'!$I$54-'Retirement Planning'!$I$61-'Retirement Planning'!$J$56)*'Retirement Planning'!$I$57+'Retirement Planning'!$K$56,(SUM(Z116:Z127)-'Retirement Planning'!$I$54-'Retirement Planning'!$I$61)*'Retirement Planning'!$I$56))))))/12,AA127)</f>
        <v>1530.8923971548663</v>
      </c>
      <c r="AB128" s="104">
        <f t="shared" ca="1" si="49"/>
        <v>0.206160704528911</v>
      </c>
      <c r="AC128" s="7">
        <f>IF(B128&lt;65,'Retirement Planning'!$J$28,0)</f>
        <v>0</v>
      </c>
      <c r="AD128" s="7">
        <f>IF(B128&lt;65,'Retirement Planning'!$J$29/12,0)</f>
        <v>0</v>
      </c>
      <c r="AE128" s="22">
        <f>'Retirement Planning'!$J$31/12</f>
        <v>58.333333333333336</v>
      </c>
      <c r="AF128" s="22">
        <f>'Retirement Planning'!$J$32/12</f>
        <v>66.666666666666671</v>
      </c>
      <c r="AG128" s="7">
        <f>IF($B128&gt;64.9,'Retirement Planning'!$J$39/12,0)</f>
        <v>183.33333333333334</v>
      </c>
      <c r="AH128" s="7">
        <f>IF($B128&gt;64.9,'Retirement Planning'!$J$40/12,0)</f>
        <v>258.33333333333331</v>
      </c>
      <c r="AI128" s="7">
        <f>IF($B128&gt;64.9,'Retirement Planning'!$J$41/12,0)</f>
        <v>558.33333333333337</v>
      </c>
      <c r="AJ128" s="7">
        <f t="shared" ca="1" si="31"/>
        <v>316.66666666666663</v>
      </c>
      <c r="AK128" s="3" t="str">
        <f t="shared" ca="1" si="32"/>
        <v>N/A</v>
      </c>
      <c r="AL128" s="6" t="str">
        <f t="shared" ca="1" si="33"/>
        <v>N/A</v>
      </c>
      <c r="AM128" s="7">
        <f t="shared" ca="1" si="34"/>
        <v>2.8421709430404007E-12</v>
      </c>
      <c r="AN128" s="7">
        <f t="shared" ca="1" si="35"/>
        <v>9731.4124635860062</v>
      </c>
      <c r="AO128" s="7">
        <f t="shared" si="36"/>
        <v>1125</v>
      </c>
    </row>
    <row r="129" spans="1:41" x14ac:dyDescent="0.2">
      <c r="A129">
        <f t="shared" si="37"/>
        <v>50</v>
      </c>
      <c r="B129" s="5">
        <f t="shared" si="38"/>
        <v>66.2</v>
      </c>
      <c r="C129" s="56">
        <f t="shared" si="39"/>
        <v>50041</v>
      </c>
      <c r="D129" s="57">
        <f ca="1">IF(AND(B128&lt;59.5,OR(B129&gt;59.5,B129=59.5)),(D128-E128+J128-K128)*(1+'Retirement Planning'!$J$23/12),(D128-E128)*(1+'Retirement Planning'!$J$23/12))</f>
        <v>307217.27921486698</v>
      </c>
      <c r="E129" s="58">
        <f t="shared" ca="1" si="26"/>
        <v>942.38201205402765</v>
      </c>
      <c r="F129" s="57">
        <f ca="1">IF(AND(OR(B129&gt;59.5,B129=59.5),B128&lt;59.5),(F128-G128+L128-M128+N128-O128)*(1+'Retirement Planning'!$J$23/12),(F128-G128)*(1+'Retirement Planning'!$J$23/12))</f>
        <v>1203591.8092359283</v>
      </c>
      <c r="G129" s="58">
        <f ca="1">IF(AND($B$10&lt;55,B129&lt;59.5),'Retirement Planning'!$J$25,IF(OR(B129&gt;59.5,B129=59.5),MAX(0,MIN(F129,IF(D129&lt;2500,((Y129+AJ129+AA129))-X129,((Y129+AJ129+AA129)*'Retirement Planning'!$J$44)-X129))),0))</f>
        <v>6226.2579899002285</v>
      </c>
      <c r="H129" s="255">
        <f>IF(MONTH(C129)=1,IF(B129&gt;69.5,F129/(INDEX('Retirement Planning'!D$1:D$264,(160+INT(B129))))/12,0),IF(F129=0,0,H128))</f>
        <v>0</v>
      </c>
      <c r="I129" s="262">
        <f t="shared" ca="1" si="27"/>
        <v>0</v>
      </c>
      <c r="J129" s="254">
        <f ca="1">IF(AND(B128&lt;59.5,OR(B129=59.5,B129&gt;59.5)),0,(J128-K128)*(1+'Retirement Planning'!$J$23/12))</f>
        <v>0</v>
      </c>
      <c r="K129" s="58">
        <f t="shared" ca="1" si="28"/>
        <v>0</v>
      </c>
      <c r="L129" s="57">
        <f>IF(AND(OR(B129&gt;59.5,B129=59.5),B128&lt;59.5),0,(L128-M128)*(1+'Retirement Planning'!$J$23/12))</f>
        <v>0</v>
      </c>
      <c r="M129" s="59">
        <f>IF(AND($B$10&lt;55,B129&lt;59.5),0,IF(B129&lt;59.5,MAX(0,MIN((($Y129+$AJ129+AA129)*'Retirement Planning'!$J$44)-$G129-$X129,L129)),0))</f>
        <v>0</v>
      </c>
      <c r="N129" s="57">
        <f ca="1">(N128-O128)*(1+'Retirement Planning'!$J$23/12)</f>
        <v>0</v>
      </c>
      <c r="O129" s="59">
        <f ca="1">IF(B129&gt;59.5,MAX(0,MIN((AA129+$Y129+$AJ129)*(IF(D129&lt;(MIN(E117:E128)+1),1,'Retirement Planning'!$J$44))-M129-$G129-$X129-(IF(D129&lt;(MIN(E117:E128)+1),D129,0)),N129)),0)</f>
        <v>0</v>
      </c>
      <c r="P129" s="57">
        <f t="shared" si="40"/>
        <v>0</v>
      </c>
      <c r="Q129" s="58">
        <f t="shared" si="41"/>
        <v>0</v>
      </c>
      <c r="R129" s="57">
        <f ca="1">(R128-S128-T128)*(1+'Retirement Planning'!$J$23/12)</f>
        <v>318884.5342712049</v>
      </c>
      <c r="S129" s="58">
        <f t="shared" ca="1" si="42"/>
        <v>808.33333333333337</v>
      </c>
      <c r="T129" s="273">
        <f t="shared" ca="1" si="29"/>
        <v>6.8212102632969618E-13</v>
      </c>
      <c r="U129" s="57">
        <f ca="1">(U128-V128)*(1+'Retirement Planning'!$J$23/12)</f>
        <v>255944.04266209237</v>
      </c>
      <c r="V129" s="24">
        <f ca="1">IF(AND($B$10&lt;55,B129&lt;59.5),MIN(U129,MAX(0,(Y129+AA129+AJ129-G129)*'Retirement Planning'!$J$45)),IF(B129&lt;59.5,(MIN(U129,MAX(0,((Y129+AA129+AJ129)-G129-M129)*'Retirement Planning'!$J$45))),MIN(U129,MAX(0,(Y129+AA129+AJ129-G129-M129-K129-X129)*'Retirement Planning'!$J$45))))</f>
        <v>802.76986212009797</v>
      </c>
      <c r="W129" s="7">
        <f t="shared" ca="1" si="30"/>
        <v>2085637.6653840924</v>
      </c>
      <c r="X129" s="7">
        <f>(IF(B129&gt;'Retirement Planning'!$J$34,IF('Retirement Planning'!$J$34=70,'Retirement Planning'!$J$37/12,IF('Retirement Planning'!$J$34=67,'Retirement Planning'!$J$36/12,'Retirement Planning'!$J$35/12)),0))*'Retirement Planning'!$J$38</f>
        <v>1213.6000000000001</v>
      </c>
      <c r="Y129" s="7">
        <f ca="1">'Retirement Planning'!$F$35*((1+'Retirement Planning'!$J$24)^(YEAR('Projected Retirement Drawdown'!C129)-YEAR(TODAY())))</f>
        <v>7323.1632687562305</v>
      </c>
      <c r="Z129" s="7">
        <f ca="1">G129+M129+O129+0.85*X129+V129*'Retirement Planning'!$J$46+T129</f>
        <v>7699.3414140662835</v>
      </c>
      <c r="AA129" s="7">
        <f ca="1">IF(MONTH(C129)=1,(((MIN(MAX(0,((SUM(Z117:Z128)-'Retirement Planning'!$I$53-'Retirement Planning'!$I$54)-'Retirement Planning'!$J$51)*'Retirement Planning'!$I$52))))+(MIN(MAX(0,((SUM(Z117:Z128)-'Retirement Planning'!$I$53-'Retirement Planning'!$I$54)-'Retirement Planning'!$J$50)*'Retirement Planning'!$I$51),('Retirement Planning'!$J$51-'Retirement Planning'!$J$50)*'Retirement Planning'!$I$51))+(MIN(MAX(0,((SUM(Z117:Z128)-'Retirement Planning'!$I$53-'Retirement Planning'!$I$54)-'Retirement Planning'!$J$49)*'Retirement Planning'!$I$50),('Retirement Planning'!$J$50-'Retirement Planning'!$J$49)*'Retirement Planning'!$I$50)+MIN(MAX(0,((SUM(Z117:Z128)-'Retirement Planning'!$I$53-'Retirement Planning'!$I$54)-'Retirement Planning'!$J$48)*'Retirement Planning'!$I$49),('Retirement Planning'!$J$49-'Retirement Planning'!$J$48)*'Retirement Planning'!$I$49)+MIN(((SUM(Z117:Z128)-'Retirement Planning'!$I$53-'Retirement Planning'!$I$54))*'Retirement Planning'!$I$48,('Retirement Planning'!$J$48)*'Retirement Planning'!$I$48))+(IF((SUM(Z117:Z128)-'Retirement Planning'!$I$54-'Retirement Planning'!$I$61)&gt;'Retirement Planning'!$J$59,(SUM(Z117:Z128)-'Retirement Planning'!$I$54-'Retirement Planning'!$I$61-'Retirement Planning'!$J$59)*'Retirement Planning'!$I$60+'Retirement Planning'!$K$59,IF((SUM(Z117:Z128)-'Retirement Planning'!$I$54-'Retirement Planning'!$I$61)&gt;'Retirement Planning'!$J$58,(SUM(Z117:Z128)-'Retirement Planning'!$I$54-'Retirement Planning'!$I$61-'Retirement Planning'!$J$58)*'Retirement Planning'!$I$59+'Retirement Planning'!$K$58,IF((SUM(Z117:Z128)-'Retirement Planning'!$I$54-'Retirement Planning'!$I$61)&gt;'Retirement Planning'!$J$57,(SUM(Z117:Z128)-'Retirement Planning'!$I$54-'Retirement Planning'!$I$61-'Retirement Planning'!$J$57)*'Retirement Planning'!$I$58+'Retirement Planning'!$K$57,IF((SUM(Z117:Z128)-'Retirement Planning'!$I$54-'Retirement Planning'!$I$61)&gt;'Retirement Planning'!$J$56,(SUM(Z117:Z128)-'Retirement Planning'!$I$54-'Retirement Planning'!$I$61-'Retirement Planning'!$J$56)*'Retirement Planning'!$I$57+'Retirement Planning'!$K$56,(SUM(Z117:Z128)-'Retirement Planning'!$I$54-'Retirement Planning'!$I$61)*'Retirement Planning'!$I$56))))))/12,AA128)</f>
        <v>1545.1799286514581</v>
      </c>
      <c r="AB129" s="104">
        <f t="shared" ref="AB129" ca="1" si="52">SUM(AA129:AA140)/SUM(Z117:Z128)</f>
        <v>0.20672446920371657</v>
      </c>
      <c r="AC129" s="7">
        <f>IF(B129&lt;65,'Retirement Planning'!$J$28,0)</f>
        <v>0</v>
      </c>
      <c r="AD129" s="7">
        <f>IF(B129&lt;65,'Retirement Planning'!$J$29/12,0)</f>
        <v>0</v>
      </c>
      <c r="AE129" s="22">
        <f>'Retirement Planning'!$J$31/12</f>
        <v>58.333333333333336</v>
      </c>
      <c r="AF129" s="22">
        <f>'Retirement Planning'!$J$32/12</f>
        <v>66.666666666666671</v>
      </c>
      <c r="AG129" s="7">
        <f>IF($B129&gt;64.9,'Retirement Planning'!$J$39/12,0)</f>
        <v>183.33333333333334</v>
      </c>
      <c r="AH129" s="7">
        <f>IF($B129&gt;64.9,'Retirement Planning'!$J$40/12,0)</f>
        <v>258.33333333333331</v>
      </c>
      <c r="AI129" s="7">
        <f>IF($B129&gt;64.9,'Retirement Planning'!$J$41/12,0)</f>
        <v>558.33333333333337</v>
      </c>
      <c r="AJ129" s="7">
        <f t="shared" ca="1" si="31"/>
        <v>316.66666666666663</v>
      </c>
      <c r="AK129" s="3" t="str">
        <f t="shared" ca="1" si="32"/>
        <v>N/A</v>
      </c>
      <c r="AL129" s="6" t="str">
        <f t="shared" ca="1" si="33"/>
        <v>N/A</v>
      </c>
      <c r="AM129" s="7">
        <f t="shared" ca="1" si="34"/>
        <v>2.0463630789890885E-12</v>
      </c>
      <c r="AN129" s="7">
        <f t="shared" ca="1" si="35"/>
        <v>9993.3431974076884</v>
      </c>
      <c r="AO129" s="7">
        <f t="shared" si="36"/>
        <v>1125</v>
      </c>
    </row>
    <row r="130" spans="1:41" x14ac:dyDescent="0.2">
      <c r="A130">
        <f t="shared" si="37"/>
        <v>50</v>
      </c>
      <c r="B130" s="5">
        <f t="shared" si="38"/>
        <v>66.3</v>
      </c>
      <c r="C130" s="56">
        <f t="shared" si="39"/>
        <v>50072</v>
      </c>
      <c r="D130" s="57">
        <f ca="1">IF(AND(B129&lt;59.5,OR(B130&gt;59.5,B130=59.5)),(D129-E129+J129-K129)*(1+'Retirement Planning'!$J$23/12),(D129-E129)*(1+'Retirement Planning'!$J$23/12))</f>
        <v>308444.34439133288</v>
      </c>
      <c r="E130" s="58">
        <f t="shared" ca="1" si="26"/>
        <v>942.38201205402765</v>
      </c>
      <c r="F130" s="57">
        <f ca="1">IF(AND(OR(B130&gt;59.5,B130=59.5),B129&lt;59.5),(F129-G129+L129-M129+N129-O129)*(1+'Retirement Planning'!$J$23/12),(F129-G129)*(1+'Retirement Planning'!$J$23/12))</f>
        <v>1205846.8905673542</v>
      </c>
      <c r="G130" s="58">
        <f ca="1">IF(AND($B$10&lt;55,B130&lt;59.5),'Retirement Planning'!$J$25,IF(OR(B130&gt;59.5,B130=59.5),MAX(0,MIN(F130,IF(D130&lt;2500,((Y130+AJ130+AA130))-X130,((Y130+AJ130+AA130)*'Retirement Planning'!$J$44)-X130))),0))</f>
        <v>6226.2579899002285</v>
      </c>
      <c r="H130" s="255">
        <f ca="1">IF(MONTH(C130)=1,IF(B130&gt;69.5,F130/(INDEX('Retirement Planning'!D$1:D$264,(160+INT(B130))))/12,0),IF(F130=0,0,H129))</f>
        <v>0</v>
      </c>
      <c r="I130" s="262">
        <f t="shared" ca="1" si="27"/>
        <v>0</v>
      </c>
      <c r="J130" s="254">
        <f ca="1">IF(AND(B129&lt;59.5,OR(B130=59.5,B130&gt;59.5)),0,(J129-K129)*(1+'Retirement Planning'!$J$23/12))</f>
        <v>0</v>
      </c>
      <c r="K130" s="58">
        <f t="shared" ca="1" si="28"/>
        <v>0</v>
      </c>
      <c r="L130" s="57">
        <f>IF(AND(OR(B130&gt;59.5,B130=59.5),B129&lt;59.5),0,(L129-M129)*(1+'Retirement Planning'!$J$23/12))</f>
        <v>0</v>
      </c>
      <c r="M130" s="59">
        <f>IF(AND($B$10&lt;55,B130&lt;59.5),0,IF(B130&lt;59.5,MAX(0,MIN((($Y130+$AJ130+AA130)*'Retirement Planning'!$J$44)-$G130-$X130,L130)),0))</f>
        <v>0</v>
      </c>
      <c r="N130" s="57">
        <f ca="1">(N129-O129)*(1+'Retirement Planning'!$J$23/12)</f>
        <v>0</v>
      </c>
      <c r="O130" s="59">
        <f ca="1">IF(B130&gt;59.5,MAX(0,MIN((AA130+$Y130+$AJ130)*(IF(D130&lt;(MIN(E118:E129)+1),1,'Retirement Planning'!$J$44))-M130-$G130-$X130-(IF(D130&lt;(MIN(E118:E129)+1),D130,0)),N130)),0)</f>
        <v>0</v>
      </c>
      <c r="P130" s="57">
        <f t="shared" si="40"/>
        <v>0</v>
      </c>
      <c r="Q130" s="58">
        <f t="shared" si="41"/>
        <v>0</v>
      </c>
      <c r="R130" s="57">
        <f ca="1">(R129-S129-T129)*(1+'Retirement Planning'!$J$23/12)</f>
        <v>320329.24069451483</v>
      </c>
      <c r="S130" s="58">
        <f t="shared" ca="1" si="42"/>
        <v>808.33333333333337</v>
      </c>
      <c r="T130" s="273">
        <f t="shared" ca="1" si="29"/>
        <v>6.8212102632969618E-13</v>
      </c>
      <c r="U130" s="57">
        <f ca="1">(U129-V129)*(1+'Retirement Planning'!$J$23/12)</f>
        <v>256948.52348230541</v>
      </c>
      <c r="V130" s="24">
        <f ca="1">IF(AND($B$10&lt;55,B130&lt;59.5),MIN(U130,MAX(0,(Y130+AA130+AJ130-G130)*'Retirement Planning'!$J$45)),IF(B130&lt;59.5,(MIN(U130,MAX(0,((Y130+AA130+AJ130)-G130-M130)*'Retirement Planning'!$J$45))),MIN(U130,MAX(0,(Y130+AA130+AJ130-G130-M130-K130-X130)*'Retirement Planning'!$J$45))))</f>
        <v>802.76986212009797</v>
      </c>
      <c r="W130" s="7">
        <f t="shared" ca="1" si="30"/>
        <v>2091568.9991355073</v>
      </c>
      <c r="X130" s="7">
        <f>(IF(B130&gt;'Retirement Planning'!$J$34,IF('Retirement Planning'!$J$34=70,'Retirement Planning'!$J$37/12,IF('Retirement Planning'!$J$34=67,'Retirement Planning'!$J$36/12,'Retirement Planning'!$J$35/12)),0))*'Retirement Planning'!$J$38</f>
        <v>1213.6000000000001</v>
      </c>
      <c r="Y130" s="7">
        <f ca="1">'Retirement Planning'!$F$35*((1+'Retirement Planning'!$J$24)^(YEAR('Projected Retirement Drawdown'!C130)-YEAR(TODAY())))</f>
        <v>7323.1632687562305</v>
      </c>
      <c r="Z130" s="7">
        <f ca="1">G130+M130+O130+0.85*X130+V130*'Retirement Planning'!$J$46+T130</f>
        <v>7699.3414140662835</v>
      </c>
      <c r="AA130" s="7">
        <f ca="1">IF(MONTH(C130)=1,(((MIN(MAX(0,((SUM(Z118:Z129)-'Retirement Planning'!$I$53-'Retirement Planning'!$I$54)-'Retirement Planning'!$J$51)*'Retirement Planning'!$I$52))))+(MIN(MAX(0,((SUM(Z118:Z129)-'Retirement Planning'!$I$53-'Retirement Planning'!$I$54)-'Retirement Planning'!$J$50)*'Retirement Planning'!$I$51),('Retirement Planning'!$J$51-'Retirement Planning'!$J$50)*'Retirement Planning'!$I$51))+(MIN(MAX(0,((SUM(Z118:Z129)-'Retirement Planning'!$I$53-'Retirement Planning'!$I$54)-'Retirement Planning'!$J$49)*'Retirement Planning'!$I$50),('Retirement Planning'!$J$50-'Retirement Planning'!$J$49)*'Retirement Planning'!$I$50)+MIN(MAX(0,((SUM(Z118:Z129)-'Retirement Planning'!$I$53-'Retirement Planning'!$I$54)-'Retirement Planning'!$J$48)*'Retirement Planning'!$I$49),('Retirement Planning'!$J$49-'Retirement Planning'!$J$48)*'Retirement Planning'!$I$49)+MIN(((SUM(Z118:Z129)-'Retirement Planning'!$I$53-'Retirement Planning'!$I$54))*'Retirement Planning'!$I$48,('Retirement Planning'!$J$48)*'Retirement Planning'!$I$48))+(IF((SUM(Z118:Z129)-'Retirement Planning'!$I$54-'Retirement Planning'!$I$61)&gt;'Retirement Planning'!$J$59,(SUM(Z118:Z129)-'Retirement Planning'!$I$54-'Retirement Planning'!$I$61-'Retirement Planning'!$J$59)*'Retirement Planning'!$I$60+'Retirement Planning'!$K$59,IF((SUM(Z118:Z129)-'Retirement Planning'!$I$54-'Retirement Planning'!$I$61)&gt;'Retirement Planning'!$J$58,(SUM(Z118:Z129)-'Retirement Planning'!$I$54-'Retirement Planning'!$I$61-'Retirement Planning'!$J$58)*'Retirement Planning'!$I$59+'Retirement Planning'!$K$58,IF((SUM(Z118:Z129)-'Retirement Planning'!$I$54-'Retirement Planning'!$I$61)&gt;'Retirement Planning'!$J$57,(SUM(Z118:Z129)-'Retirement Planning'!$I$54-'Retirement Planning'!$I$61-'Retirement Planning'!$J$57)*'Retirement Planning'!$I$58+'Retirement Planning'!$K$57,IF((SUM(Z118:Z129)-'Retirement Planning'!$I$54-'Retirement Planning'!$I$61)&gt;'Retirement Planning'!$J$56,(SUM(Z118:Z129)-'Retirement Planning'!$I$54-'Retirement Planning'!$I$61-'Retirement Planning'!$J$56)*'Retirement Planning'!$I$57+'Retirement Planning'!$K$56,(SUM(Z118:Z129)-'Retirement Planning'!$I$54-'Retirement Planning'!$I$61)*'Retirement Planning'!$I$56))))))/12,AA129)</f>
        <v>1545.1799286514581</v>
      </c>
      <c r="AB130" s="104">
        <f t="shared" ref="AB130:AB193" ca="1" si="53">AB129</f>
        <v>0.20672446920371657</v>
      </c>
      <c r="AC130" s="7">
        <f>IF(B130&lt;65,'Retirement Planning'!$J$28,0)</f>
        <v>0</v>
      </c>
      <c r="AD130" s="7">
        <f>IF(B130&lt;65,'Retirement Planning'!$J$29/12,0)</f>
        <v>0</v>
      </c>
      <c r="AE130" s="22">
        <f>'Retirement Planning'!$J$31/12</f>
        <v>58.333333333333336</v>
      </c>
      <c r="AF130" s="22">
        <f>'Retirement Planning'!$J$32/12</f>
        <v>66.666666666666671</v>
      </c>
      <c r="AG130" s="7">
        <f>IF($B130&gt;64.9,'Retirement Planning'!$J$39/12,0)</f>
        <v>183.33333333333334</v>
      </c>
      <c r="AH130" s="7">
        <f>IF($B130&gt;64.9,'Retirement Planning'!$J$40/12,0)</f>
        <v>258.33333333333331</v>
      </c>
      <c r="AI130" s="7">
        <f>IF($B130&gt;64.9,'Retirement Planning'!$J$41/12,0)</f>
        <v>558.33333333333337</v>
      </c>
      <c r="AJ130" s="7">
        <f t="shared" ca="1" si="31"/>
        <v>316.66666666666663</v>
      </c>
      <c r="AK130" s="3" t="str">
        <f t="shared" ca="1" si="32"/>
        <v>N/A</v>
      </c>
      <c r="AL130" s="6" t="str">
        <f t="shared" ca="1" si="33"/>
        <v>N/A</v>
      </c>
      <c r="AM130" s="7">
        <f t="shared" ca="1" si="34"/>
        <v>2.0463630789890885E-12</v>
      </c>
      <c r="AN130" s="7">
        <f t="shared" ca="1" si="35"/>
        <v>9993.3431974076884</v>
      </c>
      <c r="AO130" s="7">
        <f t="shared" si="36"/>
        <v>1125</v>
      </c>
    </row>
    <row r="131" spans="1:41" x14ac:dyDescent="0.2">
      <c r="A131">
        <f t="shared" si="37"/>
        <v>50</v>
      </c>
      <c r="B131" s="5">
        <f t="shared" si="38"/>
        <v>66.400000000000006</v>
      </c>
      <c r="C131" s="56">
        <f t="shared" si="39"/>
        <v>50100</v>
      </c>
      <c r="D131" s="57">
        <f ca="1">IF(AND(B130&lt;59.5,OR(B131&gt;59.5,B131=59.5)),(D130-E130+J130-K130)*(1+'Retirement Planning'!$J$23/12),(D130-E130)*(1+'Retirement Planning'!$J$23/12))</f>
        <v>309680.10127946542</v>
      </c>
      <c r="E131" s="58">
        <f t="shared" ca="1" si="26"/>
        <v>942.38201205402765</v>
      </c>
      <c r="F131" s="57">
        <f ca="1">IF(AND(OR(B131&gt;59.5,B131=59.5),B130&lt;59.5),(F130-G130+L130-M130+N130-O130)*(1+'Retirement Planning'!$J$23/12),(F130-G130)*(1+'Retirement Planning'!$J$23/12))</f>
        <v>1208117.9453915444</v>
      </c>
      <c r="G131" s="58">
        <f ca="1">IF(AND($B$10&lt;55,B131&lt;59.5),'Retirement Planning'!$J$25,IF(OR(B131&gt;59.5,B131=59.5),MAX(0,MIN(F131,IF(D131&lt;2500,((Y131+AJ131+AA131))-X131,((Y131+AJ131+AA131)*'Retirement Planning'!$J$44)-X131))),0))</f>
        <v>6226.2579899002285</v>
      </c>
      <c r="H131" s="255">
        <f ca="1">IF(MONTH(C131)=1,IF(B131&gt;69.5,F131/(INDEX('Retirement Planning'!D$1:D$264,(160+INT(B131))))/12,0),IF(F131=0,0,H130))</f>
        <v>0</v>
      </c>
      <c r="I131" s="262">
        <f t="shared" ca="1" si="27"/>
        <v>0</v>
      </c>
      <c r="J131" s="254">
        <f ca="1">IF(AND(B130&lt;59.5,OR(B131=59.5,B131&gt;59.5)),0,(J130-K130)*(1+'Retirement Planning'!$J$23/12))</f>
        <v>0</v>
      </c>
      <c r="K131" s="58">
        <f t="shared" ca="1" si="28"/>
        <v>0</v>
      </c>
      <c r="L131" s="57">
        <f>IF(AND(OR(B131&gt;59.5,B131=59.5),B130&lt;59.5),0,(L130-M130)*(1+'Retirement Planning'!$J$23/12))</f>
        <v>0</v>
      </c>
      <c r="M131" s="59">
        <f>IF(AND($B$10&lt;55,B131&lt;59.5),0,IF(B131&lt;59.5,MAX(0,MIN((($Y131+$AJ131+AA131)*'Retirement Planning'!$J$44)-$G131-$X131,L131)),0))</f>
        <v>0</v>
      </c>
      <c r="N131" s="57">
        <f ca="1">(N130-O130)*(1+'Retirement Planning'!$J$23/12)</f>
        <v>0</v>
      </c>
      <c r="O131" s="59">
        <f ca="1">IF(B131&gt;59.5,MAX(0,MIN((AA131+$Y131+$AJ131)*(IF(D131&lt;(MIN(E119:E130)+1),1,'Retirement Planning'!$J$44))-M131-$G131-$X131-(IF(D131&lt;(MIN(E119:E130)+1),D131,0)),N131)),0)</f>
        <v>0</v>
      </c>
      <c r="P131" s="57">
        <f t="shared" si="40"/>
        <v>0</v>
      </c>
      <c r="Q131" s="58">
        <f t="shared" si="41"/>
        <v>0</v>
      </c>
      <c r="R131" s="57">
        <f ca="1">(R130-S130-T130)*(1+'Retirement Planning'!$J$23/12)</f>
        <v>321784.1804549899</v>
      </c>
      <c r="S131" s="58">
        <f t="shared" ca="1" si="42"/>
        <v>808.33333333333337</v>
      </c>
      <c r="T131" s="273">
        <f t="shared" ca="1" si="29"/>
        <v>6.8212102632969618E-13</v>
      </c>
      <c r="U131" s="57">
        <f ca="1">(U130-V130)*(1+'Retirement Planning'!$J$23/12)</f>
        <v>257960.11937499495</v>
      </c>
      <c r="V131" s="24">
        <f ca="1">IF(AND($B$10&lt;55,B131&lt;59.5),MIN(U131,MAX(0,(Y131+AA131+AJ131-G131)*'Retirement Planning'!$J$45)),IF(B131&lt;59.5,(MIN(U131,MAX(0,((Y131+AA131+AJ131)-G131-M131)*'Retirement Planning'!$J$45))),MIN(U131,MAX(0,(Y131+AA131+AJ131-G131-M131-K131-X131)*'Retirement Planning'!$J$45))))</f>
        <v>802.76986212009797</v>
      </c>
      <c r="W131" s="7">
        <f t="shared" ca="1" si="30"/>
        <v>2097542.3465009946</v>
      </c>
      <c r="X131" s="7">
        <f>(IF(B131&gt;'Retirement Planning'!$J$34,IF('Retirement Planning'!$J$34=70,'Retirement Planning'!$J$37/12,IF('Retirement Planning'!$J$34=67,'Retirement Planning'!$J$36/12,'Retirement Planning'!$J$35/12)),0))*'Retirement Planning'!$J$38</f>
        <v>1213.6000000000001</v>
      </c>
      <c r="Y131" s="7">
        <f ca="1">'Retirement Planning'!$F$35*((1+'Retirement Planning'!$J$24)^(YEAR('Projected Retirement Drawdown'!C131)-YEAR(TODAY())))</f>
        <v>7323.1632687562305</v>
      </c>
      <c r="Z131" s="7">
        <f ca="1">G131+M131+O131+0.85*X131+V131*'Retirement Planning'!$J$46+T131</f>
        <v>7699.3414140662835</v>
      </c>
      <c r="AA131" s="7">
        <f ca="1">IF(MONTH(C131)=1,(((MIN(MAX(0,((SUM(Z119:Z130)-'Retirement Planning'!$I$53-'Retirement Planning'!$I$54)-'Retirement Planning'!$J$51)*'Retirement Planning'!$I$52))))+(MIN(MAX(0,((SUM(Z119:Z130)-'Retirement Planning'!$I$53-'Retirement Planning'!$I$54)-'Retirement Planning'!$J$50)*'Retirement Planning'!$I$51),('Retirement Planning'!$J$51-'Retirement Planning'!$J$50)*'Retirement Planning'!$I$51))+(MIN(MAX(0,((SUM(Z119:Z130)-'Retirement Planning'!$I$53-'Retirement Planning'!$I$54)-'Retirement Planning'!$J$49)*'Retirement Planning'!$I$50),('Retirement Planning'!$J$50-'Retirement Planning'!$J$49)*'Retirement Planning'!$I$50)+MIN(MAX(0,((SUM(Z119:Z130)-'Retirement Planning'!$I$53-'Retirement Planning'!$I$54)-'Retirement Planning'!$J$48)*'Retirement Planning'!$I$49),('Retirement Planning'!$J$49-'Retirement Planning'!$J$48)*'Retirement Planning'!$I$49)+MIN(((SUM(Z119:Z130)-'Retirement Planning'!$I$53-'Retirement Planning'!$I$54))*'Retirement Planning'!$I$48,('Retirement Planning'!$J$48)*'Retirement Planning'!$I$48))+(IF((SUM(Z119:Z130)-'Retirement Planning'!$I$54-'Retirement Planning'!$I$61)&gt;'Retirement Planning'!$J$59,(SUM(Z119:Z130)-'Retirement Planning'!$I$54-'Retirement Planning'!$I$61-'Retirement Planning'!$J$59)*'Retirement Planning'!$I$60+'Retirement Planning'!$K$59,IF((SUM(Z119:Z130)-'Retirement Planning'!$I$54-'Retirement Planning'!$I$61)&gt;'Retirement Planning'!$J$58,(SUM(Z119:Z130)-'Retirement Planning'!$I$54-'Retirement Planning'!$I$61-'Retirement Planning'!$J$58)*'Retirement Planning'!$I$59+'Retirement Planning'!$K$58,IF((SUM(Z119:Z130)-'Retirement Planning'!$I$54-'Retirement Planning'!$I$61)&gt;'Retirement Planning'!$J$57,(SUM(Z119:Z130)-'Retirement Planning'!$I$54-'Retirement Planning'!$I$61-'Retirement Planning'!$J$57)*'Retirement Planning'!$I$58+'Retirement Planning'!$K$57,IF((SUM(Z119:Z130)-'Retirement Planning'!$I$54-'Retirement Planning'!$I$61)&gt;'Retirement Planning'!$J$56,(SUM(Z119:Z130)-'Retirement Planning'!$I$54-'Retirement Planning'!$I$61-'Retirement Planning'!$J$56)*'Retirement Planning'!$I$57+'Retirement Planning'!$K$56,(SUM(Z119:Z130)-'Retirement Planning'!$I$54-'Retirement Planning'!$I$61)*'Retirement Planning'!$I$56))))))/12,AA130)</f>
        <v>1545.1799286514581</v>
      </c>
      <c r="AB131" s="104">
        <f t="shared" ca="1" si="49"/>
        <v>0.20672446920371657</v>
      </c>
      <c r="AC131" s="7">
        <f>IF(B131&lt;65,'Retirement Planning'!$J$28,0)</f>
        <v>0</v>
      </c>
      <c r="AD131" s="7">
        <f>IF(B131&lt;65,'Retirement Planning'!$J$29/12,0)</f>
        <v>0</v>
      </c>
      <c r="AE131" s="22">
        <f>'Retirement Planning'!$J$31/12</f>
        <v>58.333333333333336</v>
      </c>
      <c r="AF131" s="22">
        <f>'Retirement Planning'!$J$32/12</f>
        <v>66.666666666666671</v>
      </c>
      <c r="AG131" s="7">
        <f>IF($B131&gt;64.9,'Retirement Planning'!$J$39/12,0)</f>
        <v>183.33333333333334</v>
      </c>
      <c r="AH131" s="7">
        <f>IF($B131&gt;64.9,'Retirement Planning'!$J$40/12,0)</f>
        <v>258.33333333333331</v>
      </c>
      <c r="AI131" s="7">
        <f>IF($B131&gt;64.9,'Retirement Planning'!$J$41/12,0)</f>
        <v>558.33333333333337</v>
      </c>
      <c r="AJ131" s="7">
        <f t="shared" ca="1" si="31"/>
        <v>316.66666666666663</v>
      </c>
      <c r="AK131" s="3" t="str">
        <f t="shared" ca="1" si="32"/>
        <v>N/A</v>
      </c>
      <c r="AL131" s="6" t="str">
        <f t="shared" ca="1" si="33"/>
        <v>N/A</v>
      </c>
      <c r="AM131" s="7">
        <f t="shared" ca="1" si="34"/>
        <v>2.0463630789890885E-12</v>
      </c>
      <c r="AN131" s="7">
        <f t="shared" ca="1" si="35"/>
        <v>9993.3431974076884</v>
      </c>
      <c r="AO131" s="7">
        <f t="shared" si="36"/>
        <v>1125</v>
      </c>
    </row>
    <row r="132" spans="1:41" x14ac:dyDescent="0.2">
      <c r="A132">
        <f t="shared" si="37"/>
        <v>50</v>
      </c>
      <c r="B132" s="5">
        <f t="shared" si="38"/>
        <v>66.5</v>
      </c>
      <c r="C132" s="56">
        <f t="shared" si="39"/>
        <v>50131</v>
      </c>
      <c r="D132" s="57">
        <f ca="1">IF(AND(B131&lt;59.5,OR(B132&gt;59.5,B132=59.5)),(D131-E131+J131-K131)*(1+'Retirement Planning'!$J$23/12),(D131-E131)*(1+'Retirement Planning'!$J$23/12))</f>
        <v>310924.61144555558</v>
      </c>
      <c r="E132" s="58">
        <f t="shared" ca="1" si="26"/>
        <v>942.38201205402765</v>
      </c>
      <c r="F132" s="57">
        <f ca="1">IF(AND(OR(B132&gt;59.5,B132=59.5),B131&lt;59.5),(F131-G131+L131-M131+N131-O131)*(1+'Retirement Planning'!$J$23/12),(F131-G131)*(1+'Retirement Planning'!$J$23/12))</f>
        <v>1210405.0868540725</v>
      </c>
      <c r="G132" s="58">
        <f ca="1">IF(AND($B$10&lt;55,B132&lt;59.5),'Retirement Planning'!$J$25,IF(OR(B132&gt;59.5,B132=59.5),MAX(0,MIN(F132,IF(D132&lt;2500,((Y132+AJ132+AA132))-X132,((Y132+AJ132+AA132)*'Retirement Planning'!$J$44)-X132))),0))</f>
        <v>6226.2579899002285</v>
      </c>
      <c r="H132" s="255">
        <f ca="1">IF(MONTH(C132)=1,IF(B132&gt;69.5,F132/(INDEX('Retirement Planning'!D$1:D$264,(160+INT(B132))))/12,0),IF(F132=0,0,H131))</f>
        <v>0</v>
      </c>
      <c r="I132" s="262">
        <f t="shared" ca="1" si="27"/>
        <v>0</v>
      </c>
      <c r="J132" s="254">
        <f ca="1">IF(AND(B131&lt;59.5,OR(B132=59.5,B132&gt;59.5)),0,(J131-K131)*(1+'Retirement Planning'!$J$23/12))</f>
        <v>0</v>
      </c>
      <c r="K132" s="58">
        <f t="shared" ca="1" si="28"/>
        <v>0</v>
      </c>
      <c r="L132" s="57">
        <f>IF(AND(OR(B132&gt;59.5,B132=59.5),B131&lt;59.5),0,(L131-M131)*(1+'Retirement Planning'!$J$23/12))</f>
        <v>0</v>
      </c>
      <c r="M132" s="59">
        <f>IF(AND($B$10&lt;55,B132&lt;59.5),0,IF(B132&lt;59.5,MAX(0,MIN((($Y132+$AJ132+AA132)*'Retirement Planning'!$J$44)-$G132-$X132,L132)),0))</f>
        <v>0</v>
      </c>
      <c r="N132" s="57">
        <f ca="1">(N131-O131)*(1+'Retirement Planning'!$J$23/12)</f>
        <v>0</v>
      </c>
      <c r="O132" s="59">
        <f ca="1">IF(B132&gt;59.5,MAX(0,MIN((AA132+$Y132+$AJ132)*(IF(D132&lt;(MIN(E120:E131)+1),1,'Retirement Planning'!$J$44))-M132-$G132-$X132-(IF(D132&lt;(MIN(E120:E131)+1),D132,0)),N132)),0)</f>
        <v>0</v>
      </c>
      <c r="P132" s="57">
        <f t="shared" si="40"/>
        <v>0</v>
      </c>
      <c r="Q132" s="58">
        <f t="shared" si="41"/>
        <v>0</v>
      </c>
      <c r="R132" s="57">
        <f ca="1">(R131-S131-T131)*(1+'Retirement Planning'!$J$23/12)</f>
        <v>323249.42603876832</v>
      </c>
      <c r="S132" s="58">
        <f t="shared" ca="1" si="42"/>
        <v>808.33333333333337</v>
      </c>
      <c r="T132" s="273">
        <f t="shared" ca="1" si="29"/>
        <v>6.8212102632969618E-13</v>
      </c>
      <c r="U132" s="57">
        <f ca="1">(U131-V131)*(1+'Retirement Planning'!$J$23/12)</f>
        <v>258978.88073859105</v>
      </c>
      <c r="V132" s="24">
        <f ca="1">IF(AND($B$10&lt;55,B132&lt;59.5),MIN(U132,MAX(0,(Y132+AA132+AJ132-G132)*'Retirement Planning'!$J$45)),IF(B132&lt;59.5,(MIN(U132,MAX(0,((Y132+AA132+AJ132)-G132-M132)*'Retirement Planning'!$J$45))),MIN(U132,MAX(0,(Y132+AA132+AJ132-G132-M132-K132-X132)*'Retirement Planning'!$J$45))))</f>
        <v>802.76986212009797</v>
      </c>
      <c r="W132" s="7">
        <f t="shared" ca="1" si="30"/>
        <v>2103558.0050769877</v>
      </c>
      <c r="X132" s="7">
        <f>(IF(B132&gt;'Retirement Planning'!$J$34,IF('Retirement Planning'!$J$34=70,'Retirement Planning'!$J$37/12,IF('Retirement Planning'!$J$34=67,'Retirement Planning'!$J$36/12,'Retirement Planning'!$J$35/12)),0))*'Retirement Planning'!$J$38</f>
        <v>1213.6000000000001</v>
      </c>
      <c r="Y132" s="7">
        <f ca="1">'Retirement Planning'!$F$35*((1+'Retirement Planning'!$J$24)^(YEAR('Projected Retirement Drawdown'!C132)-YEAR(TODAY())))</f>
        <v>7323.1632687562305</v>
      </c>
      <c r="Z132" s="7">
        <f ca="1">G132+M132+O132+0.85*X132+V132*'Retirement Planning'!$J$46+T132</f>
        <v>7699.3414140662835</v>
      </c>
      <c r="AA132" s="7">
        <f ca="1">IF(MONTH(C132)=1,(((MIN(MAX(0,((SUM(Z120:Z131)-'Retirement Planning'!$I$53-'Retirement Planning'!$I$54)-'Retirement Planning'!$J$51)*'Retirement Planning'!$I$52))))+(MIN(MAX(0,((SUM(Z120:Z131)-'Retirement Planning'!$I$53-'Retirement Planning'!$I$54)-'Retirement Planning'!$J$50)*'Retirement Planning'!$I$51),('Retirement Planning'!$J$51-'Retirement Planning'!$J$50)*'Retirement Planning'!$I$51))+(MIN(MAX(0,((SUM(Z120:Z131)-'Retirement Planning'!$I$53-'Retirement Planning'!$I$54)-'Retirement Planning'!$J$49)*'Retirement Planning'!$I$50),('Retirement Planning'!$J$50-'Retirement Planning'!$J$49)*'Retirement Planning'!$I$50)+MIN(MAX(0,((SUM(Z120:Z131)-'Retirement Planning'!$I$53-'Retirement Planning'!$I$54)-'Retirement Planning'!$J$48)*'Retirement Planning'!$I$49),('Retirement Planning'!$J$49-'Retirement Planning'!$J$48)*'Retirement Planning'!$I$49)+MIN(((SUM(Z120:Z131)-'Retirement Planning'!$I$53-'Retirement Planning'!$I$54))*'Retirement Planning'!$I$48,('Retirement Planning'!$J$48)*'Retirement Planning'!$I$48))+(IF((SUM(Z120:Z131)-'Retirement Planning'!$I$54-'Retirement Planning'!$I$61)&gt;'Retirement Planning'!$J$59,(SUM(Z120:Z131)-'Retirement Planning'!$I$54-'Retirement Planning'!$I$61-'Retirement Planning'!$J$59)*'Retirement Planning'!$I$60+'Retirement Planning'!$K$59,IF((SUM(Z120:Z131)-'Retirement Planning'!$I$54-'Retirement Planning'!$I$61)&gt;'Retirement Planning'!$J$58,(SUM(Z120:Z131)-'Retirement Planning'!$I$54-'Retirement Planning'!$I$61-'Retirement Planning'!$J$58)*'Retirement Planning'!$I$59+'Retirement Planning'!$K$58,IF((SUM(Z120:Z131)-'Retirement Planning'!$I$54-'Retirement Planning'!$I$61)&gt;'Retirement Planning'!$J$57,(SUM(Z120:Z131)-'Retirement Planning'!$I$54-'Retirement Planning'!$I$61-'Retirement Planning'!$J$57)*'Retirement Planning'!$I$58+'Retirement Planning'!$K$57,IF((SUM(Z120:Z131)-'Retirement Planning'!$I$54-'Retirement Planning'!$I$61)&gt;'Retirement Planning'!$J$56,(SUM(Z120:Z131)-'Retirement Planning'!$I$54-'Retirement Planning'!$I$61-'Retirement Planning'!$J$56)*'Retirement Planning'!$I$57+'Retirement Planning'!$K$56,(SUM(Z120:Z131)-'Retirement Planning'!$I$54-'Retirement Planning'!$I$61)*'Retirement Planning'!$I$56))))))/12,AA131)</f>
        <v>1545.1799286514581</v>
      </c>
      <c r="AB132" s="104">
        <f t="shared" ca="1" si="49"/>
        <v>0.20672446920371657</v>
      </c>
      <c r="AC132" s="7">
        <f>IF(B132&lt;65,'Retirement Planning'!$J$28,0)</f>
        <v>0</v>
      </c>
      <c r="AD132" s="7">
        <f>IF(B132&lt;65,'Retirement Planning'!$J$29/12,0)</f>
        <v>0</v>
      </c>
      <c r="AE132" s="22">
        <f>'Retirement Planning'!$J$31/12</f>
        <v>58.333333333333336</v>
      </c>
      <c r="AF132" s="22">
        <f>'Retirement Planning'!$J$32/12</f>
        <v>66.666666666666671</v>
      </c>
      <c r="AG132" s="7">
        <f>IF($B132&gt;64.9,'Retirement Planning'!$J$39/12,0)</f>
        <v>183.33333333333334</v>
      </c>
      <c r="AH132" s="7">
        <f>IF($B132&gt;64.9,'Retirement Planning'!$J$40/12,0)</f>
        <v>258.33333333333331</v>
      </c>
      <c r="AI132" s="7">
        <f>IF($B132&gt;64.9,'Retirement Planning'!$J$41/12,0)</f>
        <v>558.33333333333337</v>
      </c>
      <c r="AJ132" s="7">
        <f t="shared" ca="1" si="31"/>
        <v>316.66666666666663</v>
      </c>
      <c r="AK132" s="3" t="str">
        <f t="shared" ca="1" si="32"/>
        <v>N/A</v>
      </c>
      <c r="AL132" s="6" t="str">
        <f t="shared" ca="1" si="33"/>
        <v>N/A</v>
      </c>
      <c r="AM132" s="7">
        <f t="shared" ca="1" si="34"/>
        <v>2.0463630789890885E-12</v>
      </c>
      <c r="AN132" s="7">
        <f t="shared" ca="1" si="35"/>
        <v>9993.3431974076884</v>
      </c>
      <c r="AO132" s="7">
        <f t="shared" si="36"/>
        <v>1125</v>
      </c>
    </row>
    <row r="133" spans="1:41" x14ac:dyDescent="0.2">
      <c r="A133">
        <f t="shared" si="37"/>
        <v>50</v>
      </c>
      <c r="B133" s="5">
        <f t="shared" si="38"/>
        <v>66.5</v>
      </c>
      <c r="C133" s="56">
        <f t="shared" si="39"/>
        <v>50161</v>
      </c>
      <c r="D133" s="57">
        <f ca="1">IF(AND(B132&lt;59.5,OR(B133&gt;59.5,B133=59.5)),(D132-E132+J132-K132)*(1+'Retirement Planning'!$J$23/12),(D132-E132)*(1+'Retirement Planning'!$J$23/12))</f>
        <v>312177.93689198885</v>
      </c>
      <c r="E133" s="58">
        <f t="shared" ca="1" si="26"/>
        <v>942.38201205402765</v>
      </c>
      <c r="F133" s="57">
        <f ca="1">IF(AND(OR(B133&gt;59.5,B133=59.5),B132&lt;59.5),(F132-G132+L132-M132+N132-O132)*(1+'Retirement Planning'!$J$23/12),(F132-G132)*(1+'Retirement Planning'!$J$23/12))</f>
        <v>1212708.4289019601</v>
      </c>
      <c r="G133" s="58">
        <f ca="1">IF(AND($B$10&lt;55,B133&lt;59.5),'Retirement Planning'!$J$25,IF(OR(B133&gt;59.5,B133=59.5),MAX(0,MIN(F133,IF(D133&lt;2500,((Y133+AJ133+AA133))-X133,((Y133+AJ133+AA133)*'Retirement Planning'!$J$44)-X133))),0))</f>
        <v>6226.2579899002285</v>
      </c>
      <c r="H133" s="255">
        <f ca="1">IF(MONTH(C133)=1,IF(B133&gt;69.5,F133/(INDEX('Retirement Planning'!D$1:D$264,(160+INT(B133))))/12,0),IF(F133=0,0,H132))</f>
        <v>0</v>
      </c>
      <c r="I133" s="262">
        <f t="shared" ca="1" si="27"/>
        <v>0</v>
      </c>
      <c r="J133" s="254">
        <f ca="1">IF(AND(B132&lt;59.5,OR(B133=59.5,B133&gt;59.5)),0,(J132-K132)*(1+'Retirement Planning'!$J$23/12))</f>
        <v>0</v>
      </c>
      <c r="K133" s="58">
        <f t="shared" ca="1" si="28"/>
        <v>0</v>
      </c>
      <c r="L133" s="57">
        <f>IF(AND(OR(B133&gt;59.5,B133=59.5),B132&lt;59.5),0,(L132-M132)*(1+'Retirement Planning'!$J$23/12))</f>
        <v>0</v>
      </c>
      <c r="M133" s="59">
        <f>IF(AND($B$10&lt;55,B133&lt;59.5),0,IF(B133&lt;59.5,MAX(0,MIN((($Y133+$AJ133+AA133)*'Retirement Planning'!$J$44)-$G133-$X133,L133)),0))</f>
        <v>0</v>
      </c>
      <c r="N133" s="57">
        <f ca="1">(N132-O132)*(1+'Retirement Planning'!$J$23/12)</f>
        <v>0</v>
      </c>
      <c r="O133" s="59">
        <f ca="1">IF(B133&gt;59.5,MAX(0,MIN((AA133+$Y133+$AJ133)*(IF(D133&lt;(MIN(E121:E132)+1),1,'Retirement Planning'!$J$44))-M133-$G133-$X133-(IF(D133&lt;(MIN(E121:E132)+1),D133,0)),N133)),0)</f>
        <v>0</v>
      </c>
      <c r="P133" s="57">
        <f t="shared" si="40"/>
        <v>0</v>
      </c>
      <c r="Q133" s="58">
        <f t="shared" si="41"/>
        <v>0</v>
      </c>
      <c r="R133" s="57">
        <f ca="1">(R132-S132-T132)*(1+'Retirement Planning'!$J$23/12)</f>
        <v>324725.05044543184</v>
      </c>
      <c r="S133" s="58">
        <f t="shared" ca="1" si="42"/>
        <v>808.33333333333337</v>
      </c>
      <c r="T133" s="273">
        <f t="shared" ca="1" si="29"/>
        <v>6.8212102632969618E-13</v>
      </c>
      <c r="U133" s="57">
        <f ca="1">(U132-V132)*(1+'Retirement Planning'!$J$23/12)</f>
        <v>260004.85832851261</v>
      </c>
      <c r="V133" s="24">
        <f ca="1">IF(AND($B$10&lt;55,B133&lt;59.5),MIN(U133,MAX(0,(Y133+AA133+AJ133-G133)*'Retirement Planning'!$J$45)),IF(B133&lt;59.5,(MIN(U133,MAX(0,((Y133+AA133+AJ133)-G133-M133)*'Retirement Planning'!$J$45))),MIN(U133,MAX(0,(Y133+AA133+AJ133-G133-M133-K133-X133)*'Retirement Planning'!$J$45))))</f>
        <v>802.76986212009797</v>
      </c>
      <c r="W133" s="7">
        <f t="shared" ca="1" si="30"/>
        <v>2109616.2745678932</v>
      </c>
      <c r="X133" s="7">
        <f>(IF(B133&gt;'Retirement Planning'!$J$34,IF('Retirement Planning'!$J$34=70,'Retirement Planning'!$J$37/12,IF('Retirement Planning'!$J$34=67,'Retirement Planning'!$J$36/12,'Retirement Planning'!$J$35/12)),0))*'Retirement Planning'!$J$38</f>
        <v>1213.6000000000001</v>
      </c>
      <c r="Y133" s="7">
        <f ca="1">'Retirement Planning'!$F$35*((1+'Retirement Planning'!$J$24)^(YEAR('Projected Retirement Drawdown'!C133)-YEAR(TODAY())))</f>
        <v>7323.1632687562305</v>
      </c>
      <c r="Z133" s="7">
        <f ca="1">G133+M133+O133+0.85*X133+V133*'Retirement Planning'!$J$46+T133</f>
        <v>7699.3414140662835</v>
      </c>
      <c r="AA133" s="7">
        <f ca="1">IF(MONTH(C133)=1,(((MIN(MAX(0,((SUM(Z121:Z132)-'Retirement Planning'!$I$53-'Retirement Planning'!$I$54)-'Retirement Planning'!$J$51)*'Retirement Planning'!$I$52))))+(MIN(MAX(0,((SUM(Z121:Z132)-'Retirement Planning'!$I$53-'Retirement Planning'!$I$54)-'Retirement Planning'!$J$50)*'Retirement Planning'!$I$51),('Retirement Planning'!$J$51-'Retirement Planning'!$J$50)*'Retirement Planning'!$I$51))+(MIN(MAX(0,((SUM(Z121:Z132)-'Retirement Planning'!$I$53-'Retirement Planning'!$I$54)-'Retirement Planning'!$J$49)*'Retirement Planning'!$I$50),('Retirement Planning'!$J$50-'Retirement Planning'!$J$49)*'Retirement Planning'!$I$50)+MIN(MAX(0,((SUM(Z121:Z132)-'Retirement Planning'!$I$53-'Retirement Planning'!$I$54)-'Retirement Planning'!$J$48)*'Retirement Planning'!$I$49),('Retirement Planning'!$J$49-'Retirement Planning'!$J$48)*'Retirement Planning'!$I$49)+MIN(((SUM(Z121:Z132)-'Retirement Planning'!$I$53-'Retirement Planning'!$I$54))*'Retirement Planning'!$I$48,('Retirement Planning'!$J$48)*'Retirement Planning'!$I$48))+(IF((SUM(Z121:Z132)-'Retirement Planning'!$I$54-'Retirement Planning'!$I$61)&gt;'Retirement Planning'!$J$59,(SUM(Z121:Z132)-'Retirement Planning'!$I$54-'Retirement Planning'!$I$61-'Retirement Planning'!$J$59)*'Retirement Planning'!$I$60+'Retirement Planning'!$K$59,IF((SUM(Z121:Z132)-'Retirement Planning'!$I$54-'Retirement Planning'!$I$61)&gt;'Retirement Planning'!$J$58,(SUM(Z121:Z132)-'Retirement Planning'!$I$54-'Retirement Planning'!$I$61-'Retirement Planning'!$J$58)*'Retirement Planning'!$I$59+'Retirement Planning'!$K$58,IF((SUM(Z121:Z132)-'Retirement Planning'!$I$54-'Retirement Planning'!$I$61)&gt;'Retirement Planning'!$J$57,(SUM(Z121:Z132)-'Retirement Planning'!$I$54-'Retirement Planning'!$I$61-'Retirement Planning'!$J$57)*'Retirement Planning'!$I$58+'Retirement Planning'!$K$57,IF((SUM(Z121:Z132)-'Retirement Planning'!$I$54-'Retirement Planning'!$I$61)&gt;'Retirement Planning'!$J$56,(SUM(Z121:Z132)-'Retirement Planning'!$I$54-'Retirement Planning'!$I$61-'Retirement Planning'!$J$56)*'Retirement Planning'!$I$57+'Retirement Planning'!$K$56,(SUM(Z121:Z132)-'Retirement Planning'!$I$54-'Retirement Planning'!$I$61)*'Retirement Planning'!$I$56))))))/12,AA132)</f>
        <v>1545.1799286514581</v>
      </c>
      <c r="AB133" s="104">
        <f t="shared" ca="1" si="49"/>
        <v>0.20672446920371657</v>
      </c>
      <c r="AC133" s="7">
        <f>IF(B133&lt;65,'Retirement Planning'!$J$28,0)</f>
        <v>0</v>
      </c>
      <c r="AD133" s="7">
        <f>IF(B133&lt;65,'Retirement Planning'!$J$29/12,0)</f>
        <v>0</v>
      </c>
      <c r="AE133" s="22">
        <f>'Retirement Planning'!$J$31/12</f>
        <v>58.333333333333336</v>
      </c>
      <c r="AF133" s="22">
        <f>'Retirement Planning'!$J$32/12</f>
        <v>66.666666666666671</v>
      </c>
      <c r="AG133" s="7">
        <f>IF($B133&gt;64.9,'Retirement Planning'!$J$39/12,0)</f>
        <v>183.33333333333334</v>
      </c>
      <c r="AH133" s="7">
        <f>IF($B133&gt;64.9,'Retirement Planning'!$J$40/12,0)</f>
        <v>258.33333333333331</v>
      </c>
      <c r="AI133" s="7">
        <f>IF($B133&gt;64.9,'Retirement Planning'!$J$41/12,0)</f>
        <v>558.33333333333337</v>
      </c>
      <c r="AJ133" s="7">
        <f t="shared" ca="1" si="31"/>
        <v>316.66666666666663</v>
      </c>
      <c r="AK133" s="3" t="str">
        <f t="shared" ca="1" si="32"/>
        <v>N/A</v>
      </c>
      <c r="AL133" s="6" t="str">
        <f t="shared" ca="1" si="33"/>
        <v>N/A</v>
      </c>
      <c r="AM133" s="7">
        <f t="shared" ca="1" si="34"/>
        <v>2.0463630789890885E-12</v>
      </c>
      <c r="AN133" s="7">
        <f t="shared" ca="1" si="35"/>
        <v>9993.3431974076884</v>
      </c>
      <c r="AO133" s="7">
        <f t="shared" si="36"/>
        <v>1125</v>
      </c>
    </row>
    <row r="134" spans="1:41" x14ac:dyDescent="0.2">
      <c r="A134">
        <f t="shared" si="37"/>
        <v>50</v>
      </c>
      <c r="B134" s="5">
        <f t="shared" si="38"/>
        <v>66.599999999999994</v>
      </c>
      <c r="C134" s="56">
        <f t="shared" si="39"/>
        <v>50192</v>
      </c>
      <c r="D134" s="57">
        <f ca="1">IF(AND(B133&lt;59.5,OR(B134&gt;59.5,B134=59.5)),(D133-E133+J133-K133)*(1+'Retirement Planning'!$J$23/12),(D133-E133)*(1+'Retirement Planning'!$J$23/12))</f>
        <v>313440.14006033435</v>
      </c>
      <c r="E134" s="58">
        <f t="shared" ca="1" si="26"/>
        <v>942.38201205402765</v>
      </c>
      <c r="F134" s="57">
        <f ca="1">IF(AND(OR(B134&gt;59.5,B134=59.5),B133&lt;59.5),(F133-G133+L133-M133+N133-O133)*(1+'Retirement Planning'!$J$23/12),(F133-G133)*(1+'Retirement Planning'!$J$23/12))</f>
        <v>1215028.0862893537</v>
      </c>
      <c r="G134" s="58">
        <f ca="1">IF(AND($B$10&lt;55,B134&lt;59.5),'Retirement Planning'!$J$25,IF(OR(B134&gt;59.5,B134=59.5),MAX(0,MIN(F134,IF(D134&lt;2500,((Y134+AJ134+AA134))-X134,((Y134+AJ134+AA134)*'Retirement Planning'!$J$44)-X134))),0))</f>
        <v>6226.2579899002285</v>
      </c>
      <c r="H134" s="255">
        <f ca="1">IF(MONTH(C134)=1,IF(B134&gt;69.5,F134/(INDEX('Retirement Planning'!D$1:D$264,(160+INT(B134))))/12,0),IF(F134=0,0,H133))</f>
        <v>0</v>
      </c>
      <c r="I134" s="262">
        <f t="shared" ca="1" si="27"/>
        <v>0</v>
      </c>
      <c r="J134" s="254">
        <f ca="1">IF(AND(B133&lt;59.5,OR(B134=59.5,B134&gt;59.5)),0,(J133-K133)*(1+'Retirement Planning'!$J$23/12))</f>
        <v>0</v>
      </c>
      <c r="K134" s="58">
        <f t="shared" ca="1" si="28"/>
        <v>0</v>
      </c>
      <c r="L134" s="57">
        <f>IF(AND(OR(B134&gt;59.5,B134=59.5),B133&lt;59.5),0,(L133-M133)*(1+'Retirement Planning'!$J$23/12))</f>
        <v>0</v>
      </c>
      <c r="M134" s="59">
        <f>IF(AND($B$10&lt;55,B134&lt;59.5),0,IF(B134&lt;59.5,MAX(0,MIN((($Y134+$AJ134+AA134)*'Retirement Planning'!$J$44)-$G134-$X134,L134)),0))</f>
        <v>0</v>
      </c>
      <c r="N134" s="57">
        <f ca="1">(N133-O133)*(1+'Retirement Planning'!$J$23/12)</f>
        <v>0</v>
      </c>
      <c r="O134" s="59">
        <f ca="1">IF(B134&gt;59.5,MAX(0,MIN((AA134+$Y134+$AJ134)*(IF(D134&lt;(MIN(E122:E133)+1),1,'Retirement Planning'!$J$44))-M134-$G134-$X134-(IF(D134&lt;(MIN(E122:E133)+1),D134,0)),N134)),0)</f>
        <v>0</v>
      </c>
      <c r="P134" s="57">
        <f t="shared" si="40"/>
        <v>0</v>
      </c>
      <c r="Q134" s="58">
        <f t="shared" si="41"/>
        <v>0</v>
      </c>
      <c r="R134" s="57">
        <f ca="1">(R133-S133-T133)*(1+'Retirement Planning'!$J$23/12)</f>
        <v>326211.12719164253</v>
      </c>
      <c r="S134" s="58">
        <f t="shared" ca="1" si="42"/>
        <v>808.33333333333337</v>
      </c>
      <c r="T134" s="273">
        <f t="shared" ca="1" si="29"/>
        <v>6.8212102632969618E-13</v>
      </c>
      <c r="U134" s="57">
        <f ca="1">(U133-V133)*(1+'Retirement Planning'!$J$23/12)</f>
        <v>261038.10325969613</v>
      </c>
      <c r="V134" s="24">
        <f ca="1">IF(AND($B$10&lt;55,B134&lt;59.5),MIN(U134,MAX(0,(Y134+AA134+AJ134-G134)*'Retirement Planning'!$J$45)),IF(B134&lt;59.5,(MIN(U134,MAX(0,((Y134+AA134+AJ134)-G134-M134)*'Retirement Planning'!$J$45))),MIN(U134,MAX(0,(Y134+AA134+AJ134-G134-M134-K134-X134)*'Retirement Planning'!$J$45))))</f>
        <v>802.76986212009797</v>
      </c>
      <c r="W134" s="7">
        <f t="shared" ca="1" si="30"/>
        <v>2115717.4568010266</v>
      </c>
      <c r="X134" s="7">
        <f>(IF(B134&gt;'Retirement Planning'!$J$34,IF('Retirement Planning'!$J$34=70,'Retirement Planning'!$J$37/12,IF('Retirement Planning'!$J$34=67,'Retirement Planning'!$J$36/12,'Retirement Planning'!$J$35/12)),0))*'Retirement Planning'!$J$38</f>
        <v>1213.6000000000001</v>
      </c>
      <c r="Y134" s="7">
        <f ca="1">'Retirement Planning'!$F$35*((1+'Retirement Planning'!$J$24)^(YEAR('Projected Retirement Drawdown'!C134)-YEAR(TODAY())))</f>
        <v>7323.1632687562305</v>
      </c>
      <c r="Z134" s="7">
        <f ca="1">G134+M134+O134+0.85*X134+V134*'Retirement Planning'!$J$46+T134</f>
        <v>7699.3414140662835</v>
      </c>
      <c r="AA134" s="7">
        <f ca="1">IF(MONTH(C134)=1,(((MIN(MAX(0,((SUM(Z122:Z133)-'Retirement Planning'!$I$53-'Retirement Planning'!$I$54)-'Retirement Planning'!$J$51)*'Retirement Planning'!$I$52))))+(MIN(MAX(0,((SUM(Z122:Z133)-'Retirement Planning'!$I$53-'Retirement Planning'!$I$54)-'Retirement Planning'!$J$50)*'Retirement Planning'!$I$51),('Retirement Planning'!$J$51-'Retirement Planning'!$J$50)*'Retirement Planning'!$I$51))+(MIN(MAX(0,((SUM(Z122:Z133)-'Retirement Planning'!$I$53-'Retirement Planning'!$I$54)-'Retirement Planning'!$J$49)*'Retirement Planning'!$I$50),('Retirement Planning'!$J$50-'Retirement Planning'!$J$49)*'Retirement Planning'!$I$50)+MIN(MAX(0,((SUM(Z122:Z133)-'Retirement Planning'!$I$53-'Retirement Planning'!$I$54)-'Retirement Planning'!$J$48)*'Retirement Planning'!$I$49),('Retirement Planning'!$J$49-'Retirement Planning'!$J$48)*'Retirement Planning'!$I$49)+MIN(((SUM(Z122:Z133)-'Retirement Planning'!$I$53-'Retirement Planning'!$I$54))*'Retirement Planning'!$I$48,('Retirement Planning'!$J$48)*'Retirement Planning'!$I$48))+(IF((SUM(Z122:Z133)-'Retirement Planning'!$I$54-'Retirement Planning'!$I$61)&gt;'Retirement Planning'!$J$59,(SUM(Z122:Z133)-'Retirement Planning'!$I$54-'Retirement Planning'!$I$61-'Retirement Planning'!$J$59)*'Retirement Planning'!$I$60+'Retirement Planning'!$K$59,IF((SUM(Z122:Z133)-'Retirement Planning'!$I$54-'Retirement Planning'!$I$61)&gt;'Retirement Planning'!$J$58,(SUM(Z122:Z133)-'Retirement Planning'!$I$54-'Retirement Planning'!$I$61-'Retirement Planning'!$J$58)*'Retirement Planning'!$I$59+'Retirement Planning'!$K$58,IF((SUM(Z122:Z133)-'Retirement Planning'!$I$54-'Retirement Planning'!$I$61)&gt;'Retirement Planning'!$J$57,(SUM(Z122:Z133)-'Retirement Planning'!$I$54-'Retirement Planning'!$I$61-'Retirement Planning'!$J$57)*'Retirement Planning'!$I$58+'Retirement Planning'!$K$57,IF((SUM(Z122:Z133)-'Retirement Planning'!$I$54-'Retirement Planning'!$I$61)&gt;'Retirement Planning'!$J$56,(SUM(Z122:Z133)-'Retirement Planning'!$I$54-'Retirement Planning'!$I$61-'Retirement Planning'!$J$56)*'Retirement Planning'!$I$57+'Retirement Planning'!$K$56,(SUM(Z122:Z133)-'Retirement Planning'!$I$54-'Retirement Planning'!$I$61)*'Retirement Planning'!$I$56))))))/12,AA133)</f>
        <v>1545.1799286514581</v>
      </c>
      <c r="AB134" s="104">
        <f t="shared" ca="1" si="49"/>
        <v>0.20672446920371657</v>
      </c>
      <c r="AC134" s="7">
        <f>IF(B134&lt;65,'Retirement Planning'!$J$28,0)</f>
        <v>0</v>
      </c>
      <c r="AD134" s="7">
        <f>IF(B134&lt;65,'Retirement Planning'!$J$29/12,0)</f>
        <v>0</v>
      </c>
      <c r="AE134" s="22">
        <f>'Retirement Planning'!$J$31/12</f>
        <v>58.333333333333336</v>
      </c>
      <c r="AF134" s="22">
        <f>'Retirement Planning'!$J$32/12</f>
        <v>66.666666666666671</v>
      </c>
      <c r="AG134" s="7">
        <f>IF($B134&gt;64.9,'Retirement Planning'!$J$39/12,0)</f>
        <v>183.33333333333334</v>
      </c>
      <c r="AH134" s="7">
        <f>IF($B134&gt;64.9,'Retirement Planning'!$J$40/12,0)</f>
        <v>258.33333333333331</v>
      </c>
      <c r="AI134" s="7">
        <f>IF($B134&gt;64.9,'Retirement Planning'!$J$41/12,0)</f>
        <v>558.33333333333337</v>
      </c>
      <c r="AJ134" s="7">
        <f t="shared" ca="1" si="31"/>
        <v>316.66666666666663</v>
      </c>
      <c r="AK134" s="3" t="str">
        <f t="shared" ca="1" si="32"/>
        <v>N/A</v>
      </c>
      <c r="AL134" s="6" t="str">
        <f t="shared" ca="1" si="33"/>
        <v>N/A</v>
      </c>
      <c r="AM134" s="7">
        <f t="shared" ca="1" si="34"/>
        <v>2.0463630789890885E-12</v>
      </c>
      <c r="AN134" s="7">
        <f t="shared" ca="1" si="35"/>
        <v>9993.3431974076884</v>
      </c>
      <c r="AO134" s="7">
        <f t="shared" si="36"/>
        <v>1125</v>
      </c>
    </row>
    <row r="135" spans="1:41" x14ac:dyDescent="0.2">
      <c r="A135">
        <f t="shared" si="37"/>
        <v>50</v>
      </c>
      <c r="B135" s="5">
        <f t="shared" si="38"/>
        <v>66.7</v>
      </c>
      <c r="C135" s="56">
        <f t="shared" si="39"/>
        <v>50222</v>
      </c>
      <c r="D135" s="57">
        <f ca="1">IF(AND(B134&lt;59.5,OR(B135&gt;59.5,B135=59.5)),(D134-E134+J134-K134)*(1+'Retirement Planning'!$J$23/12),(D134-E134)*(1+'Retirement Planning'!$J$23/12))</f>
        <v>314711.28383445565</v>
      </c>
      <c r="E135" s="58">
        <f t="shared" ca="1" si="26"/>
        <v>942.38201205402765</v>
      </c>
      <c r="F135" s="57">
        <f ca="1">IF(AND(OR(B135&gt;59.5,B135=59.5),B134&lt;59.5),(F134-G134+L134-M134+N134-O134)*(1+'Retirement Planning'!$J$23/12),(F134-G134)*(1+'Retirement Planning'!$J$23/12))</f>
        <v>1217364.1745832413</v>
      </c>
      <c r="G135" s="58">
        <f ca="1">IF(AND($B$10&lt;55,B135&lt;59.5),'Retirement Planning'!$J$25,IF(OR(B135&gt;59.5,B135=59.5),MAX(0,MIN(F135,IF(D135&lt;2500,((Y135+AJ135+AA135))-X135,((Y135+AJ135+AA135)*'Retirement Planning'!$J$44)-X135))),0))</f>
        <v>6226.2579899002285</v>
      </c>
      <c r="H135" s="255">
        <f ca="1">IF(MONTH(C135)=1,IF(B135&gt;69.5,F135/(INDEX('Retirement Planning'!D$1:D$264,(160+INT(B135))))/12,0),IF(F135=0,0,H134))</f>
        <v>0</v>
      </c>
      <c r="I135" s="262">
        <f t="shared" ca="1" si="27"/>
        <v>0</v>
      </c>
      <c r="J135" s="254">
        <f ca="1">IF(AND(B134&lt;59.5,OR(B135=59.5,B135&gt;59.5)),0,(J134-K134)*(1+'Retirement Planning'!$J$23/12))</f>
        <v>0</v>
      </c>
      <c r="K135" s="58">
        <f t="shared" ca="1" si="28"/>
        <v>0</v>
      </c>
      <c r="L135" s="57">
        <f>IF(AND(OR(B135&gt;59.5,B135=59.5),B134&lt;59.5),0,(L134-M134)*(1+'Retirement Planning'!$J$23/12))</f>
        <v>0</v>
      </c>
      <c r="M135" s="59">
        <f>IF(AND($B$10&lt;55,B135&lt;59.5),0,IF(B135&lt;59.5,MAX(0,MIN((($Y135+$AJ135+AA135)*'Retirement Planning'!$J$44)-$G135-$X135,L135)),0))</f>
        <v>0</v>
      </c>
      <c r="N135" s="57">
        <f ca="1">(N134-O134)*(1+'Retirement Planning'!$J$23/12)</f>
        <v>0</v>
      </c>
      <c r="O135" s="59">
        <f ca="1">IF(B135&gt;59.5,MAX(0,MIN((AA135+$Y135+$AJ135)*(IF(D135&lt;(MIN(E123:E134)+1),1,'Retirement Planning'!$J$44))-M135-$G135-$X135-(IF(D135&lt;(MIN(E123:E134)+1),D135,0)),N135)),0)</f>
        <v>0</v>
      </c>
      <c r="P135" s="57">
        <f t="shared" si="40"/>
        <v>0</v>
      </c>
      <c r="Q135" s="58">
        <f t="shared" si="41"/>
        <v>0</v>
      </c>
      <c r="R135" s="57">
        <f ca="1">(R134-S134-T134)*(1+'Retirement Planning'!$J$23/12)</f>
        <v>327707.73031480558</v>
      </c>
      <c r="S135" s="58">
        <f t="shared" ca="1" si="42"/>
        <v>808.33333333333337</v>
      </c>
      <c r="T135" s="273">
        <f t="shared" ca="1" si="29"/>
        <v>6.8212102632969618E-13</v>
      </c>
      <c r="U135" s="57">
        <f ca="1">(U134-V134)*(1+'Retirement Planning'!$J$23/12)</f>
        <v>262078.6670091422</v>
      </c>
      <c r="V135" s="24">
        <f ca="1">IF(AND($B$10&lt;55,B135&lt;59.5),MIN(U135,MAX(0,(Y135+AA135+AJ135-G135)*'Retirement Planning'!$J$45)),IF(B135&lt;59.5,(MIN(U135,MAX(0,((Y135+AA135+AJ135)-G135-M135)*'Retirement Planning'!$J$45))),MIN(U135,MAX(0,(Y135+AA135+AJ135-G135-M135-K135-X135)*'Retirement Planning'!$J$45))))</f>
        <v>802.76986212009797</v>
      </c>
      <c r="W135" s="7">
        <f t="shared" ca="1" si="30"/>
        <v>2121861.8557416447</v>
      </c>
      <c r="X135" s="7">
        <f>(IF(B135&gt;'Retirement Planning'!$J$34,IF('Retirement Planning'!$J$34=70,'Retirement Planning'!$J$37/12,IF('Retirement Planning'!$J$34=67,'Retirement Planning'!$J$36/12,'Retirement Planning'!$J$35/12)),0))*'Retirement Planning'!$J$38</f>
        <v>1213.6000000000001</v>
      </c>
      <c r="Y135" s="7">
        <f ca="1">'Retirement Planning'!$F$35*((1+'Retirement Planning'!$J$24)^(YEAR('Projected Retirement Drawdown'!C135)-YEAR(TODAY())))</f>
        <v>7323.1632687562305</v>
      </c>
      <c r="Z135" s="7">
        <f ca="1">G135+M135+O135+0.85*X135+V135*'Retirement Planning'!$J$46+T135</f>
        <v>7699.3414140662835</v>
      </c>
      <c r="AA135" s="7">
        <f ca="1">IF(MONTH(C135)=1,(((MIN(MAX(0,((SUM(Z123:Z134)-'Retirement Planning'!$I$53-'Retirement Planning'!$I$54)-'Retirement Planning'!$J$51)*'Retirement Planning'!$I$52))))+(MIN(MAX(0,((SUM(Z123:Z134)-'Retirement Planning'!$I$53-'Retirement Planning'!$I$54)-'Retirement Planning'!$J$50)*'Retirement Planning'!$I$51),('Retirement Planning'!$J$51-'Retirement Planning'!$J$50)*'Retirement Planning'!$I$51))+(MIN(MAX(0,((SUM(Z123:Z134)-'Retirement Planning'!$I$53-'Retirement Planning'!$I$54)-'Retirement Planning'!$J$49)*'Retirement Planning'!$I$50),('Retirement Planning'!$J$50-'Retirement Planning'!$J$49)*'Retirement Planning'!$I$50)+MIN(MAX(0,((SUM(Z123:Z134)-'Retirement Planning'!$I$53-'Retirement Planning'!$I$54)-'Retirement Planning'!$J$48)*'Retirement Planning'!$I$49),('Retirement Planning'!$J$49-'Retirement Planning'!$J$48)*'Retirement Planning'!$I$49)+MIN(((SUM(Z123:Z134)-'Retirement Planning'!$I$53-'Retirement Planning'!$I$54))*'Retirement Planning'!$I$48,('Retirement Planning'!$J$48)*'Retirement Planning'!$I$48))+(IF((SUM(Z123:Z134)-'Retirement Planning'!$I$54-'Retirement Planning'!$I$61)&gt;'Retirement Planning'!$J$59,(SUM(Z123:Z134)-'Retirement Planning'!$I$54-'Retirement Planning'!$I$61-'Retirement Planning'!$J$59)*'Retirement Planning'!$I$60+'Retirement Planning'!$K$59,IF((SUM(Z123:Z134)-'Retirement Planning'!$I$54-'Retirement Planning'!$I$61)&gt;'Retirement Planning'!$J$58,(SUM(Z123:Z134)-'Retirement Planning'!$I$54-'Retirement Planning'!$I$61-'Retirement Planning'!$J$58)*'Retirement Planning'!$I$59+'Retirement Planning'!$K$58,IF((SUM(Z123:Z134)-'Retirement Planning'!$I$54-'Retirement Planning'!$I$61)&gt;'Retirement Planning'!$J$57,(SUM(Z123:Z134)-'Retirement Planning'!$I$54-'Retirement Planning'!$I$61-'Retirement Planning'!$J$57)*'Retirement Planning'!$I$58+'Retirement Planning'!$K$57,IF((SUM(Z123:Z134)-'Retirement Planning'!$I$54-'Retirement Planning'!$I$61)&gt;'Retirement Planning'!$J$56,(SUM(Z123:Z134)-'Retirement Planning'!$I$54-'Retirement Planning'!$I$61-'Retirement Planning'!$J$56)*'Retirement Planning'!$I$57+'Retirement Planning'!$K$56,(SUM(Z123:Z134)-'Retirement Planning'!$I$54-'Retirement Planning'!$I$61)*'Retirement Planning'!$I$56))))))/12,AA134)</f>
        <v>1545.1799286514581</v>
      </c>
      <c r="AB135" s="104">
        <f t="shared" ca="1" si="49"/>
        <v>0.20672446920371657</v>
      </c>
      <c r="AC135" s="7">
        <f>IF(B135&lt;65,'Retirement Planning'!$J$28,0)</f>
        <v>0</v>
      </c>
      <c r="AD135" s="7">
        <f>IF(B135&lt;65,'Retirement Planning'!$J$29/12,0)</f>
        <v>0</v>
      </c>
      <c r="AE135" s="22">
        <f>'Retirement Planning'!$J$31/12</f>
        <v>58.333333333333336</v>
      </c>
      <c r="AF135" s="22">
        <f>'Retirement Planning'!$J$32/12</f>
        <v>66.666666666666671</v>
      </c>
      <c r="AG135" s="7">
        <f>IF($B135&gt;64.9,'Retirement Planning'!$J$39/12,0)</f>
        <v>183.33333333333334</v>
      </c>
      <c r="AH135" s="7">
        <f>IF($B135&gt;64.9,'Retirement Planning'!$J$40/12,0)</f>
        <v>258.33333333333331</v>
      </c>
      <c r="AI135" s="7">
        <f>IF($B135&gt;64.9,'Retirement Planning'!$J$41/12,0)</f>
        <v>558.33333333333337</v>
      </c>
      <c r="AJ135" s="7">
        <f t="shared" ca="1" si="31"/>
        <v>316.66666666666663</v>
      </c>
      <c r="AK135" s="3" t="str">
        <f t="shared" ca="1" si="32"/>
        <v>N/A</v>
      </c>
      <c r="AL135" s="6" t="str">
        <f t="shared" ca="1" si="33"/>
        <v>N/A</v>
      </c>
      <c r="AM135" s="7">
        <f t="shared" ca="1" si="34"/>
        <v>2.0463630789890885E-12</v>
      </c>
      <c r="AN135" s="7">
        <f t="shared" ca="1" si="35"/>
        <v>9993.3431974076884</v>
      </c>
      <c r="AO135" s="7">
        <f t="shared" si="36"/>
        <v>1125</v>
      </c>
    </row>
    <row r="136" spans="1:41" x14ac:dyDescent="0.2">
      <c r="A136">
        <f t="shared" si="37"/>
        <v>50</v>
      </c>
      <c r="B136" s="5">
        <f t="shared" si="38"/>
        <v>66.8</v>
      </c>
      <c r="C136" s="56">
        <f t="shared" si="39"/>
        <v>50253</v>
      </c>
      <c r="D136" s="57">
        <f ca="1">IF(AND(B135&lt;59.5,OR(B136&gt;59.5,B136=59.5)),(D135-E135+J135-K135)*(1+'Retirement Planning'!$J$23/12),(D135-E135)*(1+'Retirement Planning'!$J$23/12))</f>
        <v>315991.43154364364</v>
      </c>
      <c r="E136" s="58">
        <f t="shared" ca="1" si="26"/>
        <v>942.38201205402765</v>
      </c>
      <c r="F136" s="57">
        <f ca="1">IF(AND(OR(B136&gt;59.5,B136=59.5),B135&lt;59.5),(F135-G135+L135-M135+N135-O135)*(1+'Retirement Planning'!$J$23/12),(F135-G135)*(1+'Retirement Planning'!$J$23/12))</f>
        <v>1219716.8101692107</v>
      </c>
      <c r="G136" s="58">
        <f ca="1">IF(AND($B$10&lt;55,B136&lt;59.5),'Retirement Planning'!$J$25,IF(OR(B136&gt;59.5,B136=59.5),MAX(0,MIN(F136,IF(D136&lt;2500,((Y136+AJ136+AA136))-X136,((Y136+AJ136+AA136)*'Retirement Planning'!$J$44)-X136))),0))</f>
        <v>6226.2579899002285</v>
      </c>
      <c r="H136" s="255">
        <f ca="1">IF(MONTH(C136)=1,IF(B136&gt;69.5,F136/(INDEX('Retirement Planning'!D$1:D$264,(160+INT(B136))))/12,0),IF(F136=0,0,H135))</f>
        <v>0</v>
      </c>
      <c r="I136" s="262">
        <f t="shared" ca="1" si="27"/>
        <v>0</v>
      </c>
      <c r="J136" s="254">
        <f ca="1">IF(AND(B135&lt;59.5,OR(B136=59.5,B136&gt;59.5)),0,(J135-K135)*(1+'Retirement Planning'!$J$23/12))</f>
        <v>0</v>
      </c>
      <c r="K136" s="58">
        <f t="shared" ca="1" si="28"/>
        <v>0</v>
      </c>
      <c r="L136" s="57">
        <f>IF(AND(OR(B136&gt;59.5,B136=59.5),B135&lt;59.5),0,(L135-M135)*(1+'Retirement Planning'!$J$23/12))</f>
        <v>0</v>
      </c>
      <c r="M136" s="59">
        <f>IF(AND($B$10&lt;55,B136&lt;59.5),0,IF(B136&lt;59.5,MAX(0,MIN((($Y136+$AJ136+AA136)*'Retirement Planning'!$J$44)-$G136-$X136,L136)),0))</f>
        <v>0</v>
      </c>
      <c r="N136" s="57">
        <f ca="1">(N135-O135)*(1+'Retirement Planning'!$J$23/12)</f>
        <v>0</v>
      </c>
      <c r="O136" s="59">
        <f ca="1">IF(B136&gt;59.5,MAX(0,MIN((AA136+$Y136+$AJ136)*(IF(D136&lt;(MIN(E124:E135)+1),1,'Retirement Planning'!$J$44))-M136-$G136-$X136-(IF(D136&lt;(MIN(E124:E135)+1),D136,0)),N136)),0)</f>
        <v>0</v>
      </c>
      <c r="P136" s="57">
        <f t="shared" si="40"/>
        <v>0</v>
      </c>
      <c r="Q136" s="58">
        <f t="shared" si="41"/>
        <v>0</v>
      </c>
      <c r="R136" s="57">
        <f ca="1">(R135-S135-T135)*(1+'Retirement Planning'!$J$23/12)</f>
        <v>329214.93437675771</v>
      </c>
      <c r="S136" s="58">
        <f t="shared" ca="1" si="42"/>
        <v>808.33333333333337</v>
      </c>
      <c r="T136" s="273">
        <f t="shared" ca="1" si="29"/>
        <v>6.8212102632969618E-13</v>
      </c>
      <c r="U136" s="57">
        <f ca="1">(U135-V135)*(1+'Retirement Planning'!$J$23/12)</f>
        <v>263126.60141848016</v>
      </c>
      <c r="V136" s="24">
        <f ca="1">IF(AND($B$10&lt;55,B136&lt;59.5),MIN(U136,MAX(0,(Y136+AA136+AJ136-G136)*'Retirement Planning'!$J$45)),IF(B136&lt;59.5,(MIN(U136,MAX(0,((Y136+AA136+AJ136)-G136-M136)*'Retirement Planning'!$J$45))),MIN(U136,MAX(0,(Y136+AA136+AJ136-G136-M136-K136-X136)*'Retirement Planning'!$J$45))))</f>
        <v>802.76986212009797</v>
      </c>
      <c r="W136" s="7">
        <f t="shared" ca="1" si="30"/>
        <v>2128049.7775080921</v>
      </c>
      <c r="X136" s="7">
        <f>(IF(B136&gt;'Retirement Planning'!$J$34,IF('Retirement Planning'!$J$34=70,'Retirement Planning'!$J$37/12,IF('Retirement Planning'!$J$34=67,'Retirement Planning'!$J$36/12,'Retirement Planning'!$J$35/12)),0))*'Retirement Planning'!$J$38</f>
        <v>1213.6000000000001</v>
      </c>
      <c r="Y136" s="7">
        <f ca="1">'Retirement Planning'!$F$35*((1+'Retirement Planning'!$J$24)^(YEAR('Projected Retirement Drawdown'!C136)-YEAR(TODAY())))</f>
        <v>7323.1632687562305</v>
      </c>
      <c r="Z136" s="7">
        <f ca="1">G136+M136+O136+0.85*X136+V136*'Retirement Planning'!$J$46+T136</f>
        <v>7699.3414140662835</v>
      </c>
      <c r="AA136" s="7">
        <f ca="1">IF(MONTH(C136)=1,(((MIN(MAX(0,((SUM(Z124:Z135)-'Retirement Planning'!$I$53-'Retirement Planning'!$I$54)-'Retirement Planning'!$J$51)*'Retirement Planning'!$I$52))))+(MIN(MAX(0,((SUM(Z124:Z135)-'Retirement Planning'!$I$53-'Retirement Planning'!$I$54)-'Retirement Planning'!$J$50)*'Retirement Planning'!$I$51),('Retirement Planning'!$J$51-'Retirement Planning'!$J$50)*'Retirement Planning'!$I$51))+(MIN(MAX(0,((SUM(Z124:Z135)-'Retirement Planning'!$I$53-'Retirement Planning'!$I$54)-'Retirement Planning'!$J$49)*'Retirement Planning'!$I$50),('Retirement Planning'!$J$50-'Retirement Planning'!$J$49)*'Retirement Planning'!$I$50)+MIN(MAX(0,((SUM(Z124:Z135)-'Retirement Planning'!$I$53-'Retirement Planning'!$I$54)-'Retirement Planning'!$J$48)*'Retirement Planning'!$I$49),('Retirement Planning'!$J$49-'Retirement Planning'!$J$48)*'Retirement Planning'!$I$49)+MIN(((SUM(Z124:Z135)-'Retirement Planning'!$I$53-'Retirement Planning'!$I$54))*'Retirement Planning'!$I$48,('Retirement Planning'!$J$48)*'Retirement Planning'!$I$48))+(IF((SUM(Z124:Z135)-'Retirement Planning'!$I$54-'Retirement Planning'!$I$61)&gt;'Retirement Planning'!$J$59,(SUM(Z124:Z135)-'Retirement Planning'!$I$54-'Retirement Planning'!$I$61-'Retirement Planning'!$J$59)*'Retirement Planning'!$I$60+'Retirement Planning'!$K$59,IF((SUM(Z124:Z135)-'Retirement Planning'!$I$54-'Retirement Planning'!$I$61)&gt;'Retirement Planning'!$J$58,(SUM(Z124:Z135)-'Retirement Planning'!$I$54-'Retirement Planning'!$I$61-'Retirement Planning'!$J$58)*'Retirement Planning'!$I$59+'Retirement Planning'!$K$58,IF((SUM(Z124:Z135)-'Retirement Planning'!$I$54-'Retirement Planning'!$I$61)&gt;'Retirement Planning'!$J$57,(SUM(Z124:Z135)-'Retirement Planning'!$I$54-'Retirement Planning'!$I$61-'Retirement Planning'!$J$57)*'Retirement Planning'!$I$58+'Retirement Planning'!$K$57,IF((SUM(Z124:Z135)-'Retirement Planning'!$I$54-'Retirement Planning'!$I$61)&gt;'Retirement Planning'!$J$56,(SUM(Z124:Z135)-'Retirement Planning'!$I$54-'Retirement Planning'!$I$61-'Retirement Planning'!$J$56)*'Retirement Planning'!$I$57+'Retirement Planning'!$K$56,(SUM(Z124:Z135)-'Retirement Planning'!$I$54-'Retirement Planning'!$I$61)*'Retirement Planning'!$I$56))))))/12,AA135)</f>
        <v>1545.1799286514581</v>
      </c>
      <c r="AB136" s="104">
        <f t="shared" ca="1" si="49"/>
        <v>0.20672446920371657</v>
      </c>
      <c r="AC136" s="7">
        <f>IF(B136&lt;65,'Retirement Planning'!$J$28,0)</f>
        <v>0</v>
      </c>
      <c r="AD136" s="7">
        <f>IF(B136&lt;65,'Retirement Planning'!$J$29/12,0)</f>
        <v>0</v>
      </c>
      <c r="AE136" s="22">
        <f>'Retirement Planning'!$J$31/12</f>
        <v>58.333333333333336</v>
      </c>
      <c r="AF136" s="22">
        <f>'Retirement Planning'!$J$32/12</f>
        <v>66.666666666666671</v>
      </c>
      <c r="AG136" s="7">
        <f>IF($B136&gt;64.9,'Retirement Planning'!$J$39/12,0)</f>
        <v>183.33333333333334</v>
      </c>
      <c r="AH136" s="7">
        <f>IF($B136&gt;64.9,'Retirement Planning'!$J$40/12,0)</f>
        <v>258.33333333333331</v>
      </c>
      <c r="AI136" s="7">
        <f>IF($B136&gt;64.9,'Retirement Planning'!$J$41/12,0)</f>
        <v>558.33333333333337</v>
      </c>
      <c r="AJ136" s="7">
        <f t="shared" ca="1" si="31"/>
        <v>316.66666666666663</v>
      </c>
      <c r="AK136" s="3" t="str">
        <f t="shared" ca="1" si="32"/>
        <v>N/A</v>
      </c>
      <c r="AL136" s="6" t="str">
        <f t="shared" ca="1" si="33"/>
        <v>N/A</v>
      </c>
      <c r="AM136" s="7">
        <f t="shared" ca="1" si="34"/>
        <v>2.0463630789890885E-12</v>
      </c>
      <c r="AN136" s="7">
        <f t="shared" ca="1" si="35"/>
        <v>9993.3431974076884</v>
      </c>
      <c r="AO136" s="7">
        <f t="shared" si="36"/>
        <v>1125</v>
      </c>
    </row>
    <row r="137" spans="1:41" x14ac:dyDescent="0.2">
      <c r="A137">
        <f t="shared" si="37"/>
        <v>50</v>
      </c>
      <c r="B137" s="5">
        <f t="shared" si="38"/>
        <v>66.900000000000006</v>
      </c>
      <c r="C137" s="56">
        <f t="shared" si="39"/>
        <v>50284</v>
      </c>
      <c r="D137" s="57">
        <f ca="1">IF(AND(B136&lt;59.5,OR(B137&gt;59.5,B137=59.5)),(D136-E136+J136-K136)*(1+'Retirement Planning'!$J$23/12),(D136-E136)*(1+'Retirement Planning'!$J$23/12))</f>
        <v>317280.64696577168</v>
      </c>
      <c r="E137" s="58">
        <f t="shared" ca="1" si="26"/>
        <v>942.38201205402765</v>
      </c>
      <c r="F137" s="57">
        <f ca="1">IF(AND(OR(B137&gt;59.5,B137=59.5),B136&lt;59.5),(F136-G136+L136-M136+N136-O136)*(1+'Retirement Planning'!$J$23/12),(F136-G136)*(1+'Retirement Planning'!$J$23/12))</f>
        <v>1222086.1102572472</v>
      </c>
      <c r="G137" s="58">
        <f ca="1">IF(AND($B$10&lt;55,B137&lt;59.5),'Retirement Planning'!$J$25,IF(OR(B137&gt;59.5,B137=59.5),MAX(0,MIN(F137,IF(D137&lt;2500,((Y137+AJ137+AA137))-X137,((Y137+AJ137+AA137)*'Retirement Planning'!$J$44)-X137))),0))</f>
        <v>6226.2579899002285</v>
      </c>
      <c r="H137" s="255">
        <f ca="1">IF(MONTH(C137)=1,IF(B137&gt;69.5,F137/(INDEX('Retirement Planning'!D$1:D$264,(160+INT(B137))))/12,0),IF(F137=0,0,H136))</f>
        <v>0</v>
      </c>
      <c r="I137" s="262">
        <f t="shared" ca="1" si="27"/>
        <v>0</v>
      </c>
      <c r="J137" s="254">
        <f ca="1">IF(AND(B136&lt;59.5,OR(B137=59.5,B137&gt;59.5)),0,(J136-K136)*(1+'Retirement Planning'!$J$23/12))</f>
        <v>0</v>
      </c>
      <c r="K137" s="58">
        <f t="shared" ca="1" si="28"/>
        <v>0</v>
      </c>
      <c r="L137" s="57">
        <f>IF(AND(OR(B137&gt;59.5,B137=59.5),B136&lt;59.5),0,(L136-M136)*(1+'Retirement Planning'!$J$23/12))</f>
        <v>0</v>
      </c>
      <c r="M137" s="59">
        <f>IF(AND($B$10&lt;55,B137&lt;59.5),0,IF(B137&lt;59.5,MAX(0,MIN((($Y137+$AJ137+AA137)*'Retirement Planning'!$J$44)-$G137-$X137,L137)),0))</f>
        <v>0</v>
      </c>
      <c r="N137" s="57">
        <f ca="1">(N136-O136)*(1+'Retirement Planning'!$J$23/12)</f>
        <v>0</v>
      </c>
      <c r="O137" s="59">
        <f ca="1">IF(B137&gt;59.5,MAX(0,MIN((AA137+$Y137+$AJ137)*(IF(D137&lt;(MIN(E125:E136)+1),1,'Retirement Planning'!$J$44))-M137-$G137-$X137-(IF(D137&lt;(MIN(E125:E136)+1),D137,0)),N137)),0)</f>
        <v>0</v>
      </c>
      <c r="P137" s="57">
        <f t="shared" si="40"/>
        <v>0</v>
      </c>
      <c r="Q137" s="58">
        <f t="shared" si="41"/>
        <v>0</v>
      </c>
      <c r="R137" s="57">
        <f ca="1">(R136-S136-T136)*(1+'Retirement Planning'!$J$23/12)</f>
        <v>330732.81446748198</v>
      </c>
      <c r="S137" s="58">
        <f t="shared" ca="1" si="42"/>
        <v>808.33333333333337</v>
      </c>
      <c r="T137" s="273">
        <f t="shared" ca="1" si="29"/>
        <v>6.8212102632969618E-13</v>
      </c>
      <c r="U137" s="57">
        <f ca="1">(U136-V136)*(1+'Retirement Planning'!$J$23/12)</f>
        <v>264181.95869655092</v>
      </c>
      <c r="V137" s="24">
        <f ca="1">IF(AND($B$10&lt;55,B137&lt;59.5),MIN(U137,MAX(0,(Y137+AA137+AJ137-G137)*'Retirement Planning'!$J$45)),IF(B137&lt;59.5,(MIN(U137,MAX(0,((Y137+AA137+AJ137)-G137-M137)*'Retirement Planning'!$J$45))),MIN(U137,MAX(0,(Y137+AA137+AJ137-G137-M137-K137-X137)*'Retirement Planning'!$J$45))))</f>
        <v>802.76986212009797</v>
      </c>
      <c r="W137" s="7">
        <f t="shared" ca="1" si="30"/>
        <v>2134281.5303870519</v>
      </c>
      <c r="X137" s="7">
        <f>(IF(B137&gt;'Retirement Planning'!$J$34,IF('Retirement Planning'!$J$34=70,'Retirement Planning'!$J$37/12,IF('Retirement Planning'!$J$34=67,'Retirement Planning'!$J$36/12,'Retirement Planning'!$J$35/12)),0))*'Retirement Planning'!$J$38</f>
        <v>1213.6000000000001</v>
      </c>
      <c r="Y137" s="7">
        <f ca="1">'Retirement Planning'!$F$35*((1+'Retirement Planning'!$J$24)^(YEAR('Projected Retirement Drawdown'!C137)-YEAR(TODAY())))</f>
        <v>7323.1632687562305</v>
      </c>
      <c r="Z137" s="7">
        <f ca="1">G137+M137+O137+0.85*X137+V137*'Retirement Planning'!$J$46+T137</f>
        <v>7699.3414140662835</v>
      </c>
      <c r="AA137" s="7">
        <f ca="1">IF(MONTH(C137)=1,(((MIN(MAX(0,((SUM(Z125:Z136)-'Retirement Planning'!$I$53-'Retirement Planning'!$I$54)-'Retirement Planning'!$J$51)*'Retirement Planning'!$I$52))))+(MIN(MAX(0,((SUM(Z125:Z136)-'Retirement Planning'!$I$53-'Retirement Planning'!$I$54)-'Retirement Planning'!$J$50)*'Retirement Planning'!$I$51),('Retirement Planning'!$J$51-'Retirement Planning'!$J$50)*'Retirement Planning'!$I$51))+(MIN(MAX(0,((SUM(Z125:Z136)-'Retirement Planning'!$I$53-'Retirement Planning'!$I$54)-'Retirement Planning'!$J$49)*'Retirement Planning'!$I$50),('Retirement Planning'!$J$50-'Retirement Planning'!$J$49)*'Retirement Planning'!$I$50)+MIN(MAX(0,((SUM(Z125:Z136)-'Retirement Planning'!$I$53-'Retirement Planning'!$I$54)-'Retirement Planning'!$J$48)*'Retirement Planning'!$I$49),('Retirement Planning'!$J$49-'Retirement Planning'!$J$48)*'Retirement Planning'!$I$49)+MIN(((SUM(Z125:Z136)-'Retirement Planning'!$I$53-'Retirement Planning'!$I$54))*'Retirement Planning'!$I$48,('Retirement Planning'!$J$48)*'Retirement Planning'!$I$48))+(IF((SUM(Z125:Z136)-'Retirement Planning'!$I$54-'Retirement Planning'!$I$61)&gt;'Retirement Planning'!$J$59,(SUM(Z125:Z136)-'Retirement Planning'!$I$54-'Retirement Planning'!$I$61-'Retirement Planning'!$J$59)*'Retirement Planning'!$I$60+'Retirement Planning'!$K$59,IF((SUM(Z125:Z136)-'Retirement Planning'!$I$54-'Retirement Planning'!$I$61)&gt;'Retirement Planning'!$J$58,(SUM(Z125:Z136)-'Retirement Planning'!$I$54-'Retirement Planning'!$I$61-'Retirement Planning'!$J$58)*'Retirement Planning'!$I$59+'Retirement Planning'!$K$58,IF((SUM(Z125:Z136)-'Retirement Planning'!$I$54-'Retirement Planning'!$I$61)&gt;'Retirement Planning'!$J$57,(SUM(Z125:Z136)-'Retirement Planning'!$I$54-'Retirement Planning'!$I$61-'Retirement Planning'!$J$57)*'Retirement Planning'!$I$58+'Retirement Planning'!$K$57,IF((SUM(Z125:Z136)-'Retirement Planning'!$I$54-'Retirement Planning'!$I$61)&gt;'Retirement Planning'!$J$56,(SUM(Z125:Z136)-'Retirement Planning'!$I$54-'Retirement Planning'!$I$61-'Retirement Planning'!$J$56)*'Retirement Planning'!$I$57+'Retirement Planning'!$K$56,(SUM(Z125:Z136)-'Retirement Planning'!$I$54-'Retirement Planning'!$I$61)*'Retirement Planning'!$I$56))))))/12,AA136)</f>
        <v>1545.1799286514581</v>
      </c>
      <c r="AB137" s="104">
        <f t="shared" ca="1" si="49"/>
        <v>0.20672446920371657</v>
      </c>
      <c r="AC137" s="7">
        <f>IF(B137&lt;65,'Retirement Planning'!$J$28,0)</f>
        <v>0</v>
      </c>
      <c r="AD137" s="7">
        <f>IF(B137&lt;65,'Retirement Planning'!$J$29/12,0)</f>
        <v>0</v>
      </c>
      <c r="AE137" s="22">
        <f>'Retirement Planning'!$J$31/12</f>
        <v>58.333333333333336</v>
      </c>
      <c r="AF137" s="22">
        <f>'Retirement Planning'!$J$32/12</f>
        <v>66.666666666666671</v>
      </c>
      <c r="AG137" s="7">
        <f>IF($B137&gt;64.9,'Retirement Planning'!$J$39/12,0)</f>
        <v>183.33333333333334</v>
      </c>
      <c r="AH137" s="7">
        <f>IF($B137&gt;64.9,'Retirement Planning'!$J$40/12,0)</f>
        <v>258.33333333333331</v>
      </c>
      <c r="AI137" s="7">
        <f>IF($B137&gt;64.9,'Retirement Planning'!$J$41/12,0)</f>
        <v>558.33333333333337</v>
      </c>
      <c r="AJ137" s="7">
        <f t="shared" ca="1" si="31"/>
        <v>316.66666666666663</v>
      </c>
      <c r="AK137" s="3" t="str">
        <f t="shared" ca="1" si="32"/>
        <v>N/A</v>
      </c>
      <c r="AL137" s="6" t="str">
        <f t="shared" ca="1" si="33"/>
        <v>N/A</v>
      </c>
      <c r="AM137" s="7">
        <f t="shared" ca="1" si="34"/>
        <v>2.0463630789890885E-12</v>
      </c>
      <c r="AN137" s="7">
        <f t="shared" ca="1" si="35"/>
        <v>9993.3431974076884</v>
      </c>
      <c r="AO137" s="7">
        <f t="shared" si="36"/>
        <v>1125</v>
      </c>
    </row>
    <row r="138" spans="1:41" x14ac:dyDescent="0.2">
      <c r="A138">
        <f t="shared" si="37"/>
        <v>50</v>
      </c>
      <c r="B138" s="5">
        <f t="shared" si="38"/>
        <v>67</v>
      </c>
      <c r="C138" s="56">
        <f t="shared" si="39"/>
        <v>50314</v>
      </c>
      <c r="D138" s="57">
        <f ca="1">IF(AND(B137&lt;59.5,OR(B138&gt;59.5,B138=59.5)),(D137-E137+J137-K137)*(1+'Retirement Planning'!$J$23/12),(D137-E137)*(1+'Retirement Planning'!$J$23/12))</f>
        <v>318578.99433047313</v>
      </c>
      <c r="E138" s="58">
        <f t="shared" ca="1" si="26"/>
        <v>942.38201205402765</v>
      </c>
      <c r="F138" s="57">
        <f ca="1">IF(AND(OR(B138&gt;59.5,B138=59.5),B137&lt;59.5),(F137-G137+L137-M137+N137-O137)*(1+'Retirement Planning'!$J$23/12),(F137-G137)*(1+'Retirement Planning'!$J$23/12))</f>
        <v>1224472.192887574</v>
      </c>
      <c r="G138" s="58">
        <f ca="1">IF(AND($B$10&lt;55,B138&lt;59.5),'Retirement Planning'!$J$25,IF(OR(B138&gt;59.5,B138=59.5),MAX(0,MIN(F138,IF(D138&lt;2500,((Y138+AJ138+AA138))-X138,((Y138+AJ138+AA138)*'Retirement Planning'!$J$44)-X138))),0))</f>
        <v>6226.2579899002285</v>
      </c>
      <c r="H138" s="255">
        <f ca="1">IF(MONTH(C138)=1,IF(B138&gt;69.5,F138/(INDEX('Retirement Planning'!D$1:D$264,(160+INT(B138))))/12,0),IF(F138=0,0,H137))</f>
        <v>0</v>
      </c>
      <c r="I138" s="262">
        <f t="shared" ca="1" si="27"/>
        <v>0</v>
      </c>
      <c r="J138" s="254">
        <f ca="1">IF(AND(B137&lt;59.5,OR(B138=59.5,B138&gt;59.5)),0,(J137-K137)*(1+'Retirement Planning'!$J$23/12))</f>
        <v>0</v>
      </c>
      <c r="K138" s="58">
        <f t="shared" ca="1" si="28"/>
        <v>0</v>
      </c>
      <c r="L138" s="57">
        <f>IF(AND(OR(B138&gt;59.5,B138=59.5),B137&lt;59.5),0,(L137-M137)*(1+'Retirement Planning'!$J$23/12))</f>
        <v>0</v>
      </c>
      <c r="M138" s="59">
        <f>IF(AND($B$10&lt;55,B138&lt;59.5),0,IF(B138&lt;59.5,MAX(0,MIN((($Y138+$AJ138+AA138)*'Retirement Planning'!$J$44)-$G138-$X138,L138)),0))</f>
        <v>0</v>
      </c>
      <c r="N138" s="57">
        <f ca="1">(N137-O137)*(1+'Retirement Planning'!$J$23/12)</f>
        <v>0</v>
      </c>
      <c r="O138" s="59">
        <f ca="1">IF(B138&gt;59.5,MAX(0,MIN((AA138+$Y138+$AJ138)*(IF(D138&lt;(MIN(E126:E137)+1),1,'Retirement Planning'!$J$44))-M138-$G138-$X138-(IF(D138&lt;(MIN(E126:E137)+1),D138,0)),N138)),0)</f>
        <v>0</v>
      </c>
      <c r="P138" s="57">
        <f t="shared" si="40"/>
        <v>0</v>
      </c>
      <c r="Q138" s="58">
        <f t="shared" si="41"/>
        <v>0</v>
      </c>
      <c r="R138" s="57">
        <f ca="1">(R137-S137-T137)*(1+'Retirement Planning'!$J$23/12)</f>
        <v>332261.44620884891</v>
      </c>
      <c r="S138" s="58">
        <f t="shared" ca="1" si="42"/>
        <v>808.33333333333337</v>
      </c>
      <c r="T138" s="273">
        <f t="shared" ca="1" si="29"/>
        <v>6.8212102632969618E-13</v>
      </c>
      <c r="U138" s="57">
        <f ca="1">(U137-V137)*(1+'Retirement Planning'!$J$23/12)</f>
        <v>265244.79142200807</v>
      </c>
      <c r="V138" s="24">
        <f ca="1">IF(AND($B$10&lt;55,B138&lt;59.5),MIN(U138,MAX(0,(Y138+AA138+AJ138-G138)*'Retirement Planning'!$J$45)),IF(B138&lt;59.5,(MIN(U138,MAX(0,((Y138+AA138+AJ138)-G138-M138)*'Retirement Planning'!$J$45))),MIN(U138,MAX(0,(Y138+AA138+AJ138-G138-M138-K138-X138)*'Retirement Planning'!$J$45))))</f>
        <v>802.76986212009797</v>
      </c>
      <c r="W138" s="7">
        <f t="shared" ca="1" si="30"/>
        <v>2140557.4248489039</v>
      </c>
      <c r="X138" s="7">
        <f>(IF(B138&gt;'Retirement Planning'!$J$34,IF('Retirement Planning'!$J$34=70,'Retirement Planning'!$J$37/12,IF('Retirement Planning'!$J$34=67,'Retirement Planning'!$J$36/12,'Retirement Planning'!$J$35/12)),0))*'Retirement Planning'!$J$38</f>
        <v>1213.6000000000001</v>
      </c>
      <c r="Y138" s="7">
        <f ca="1">'Retirement Planning'!$F$35*((1+'Retirement Planning'!$J$24)^(YEAR('Projected Retirement Drawdown'!C138)-YEAR(TODAY())))</f>
        <v>7323.1632687562305</v>
      </c>
      <c r="Z138" s="7">
        <f ca="1">G138+M138+O138+0.85*X138+V138*'Retirement Planning'!$J$46+T138</f>
        <v>7699.3414140662835</v>
      </c>
      <c r="AA138" s="7">
        <f ca="1">IF(MONTH(C138)=1,(((MIN(MAX(0,((SUM(Z126:Z137)-'Retirement Planning'!$I$53-'Retirement Planning'!$I$54)-'Retirement Planning'!$J$51)*'Retirement Planning'!$I$52))))+(MIN(MAX(0,((SUM(Z126:Z137)-'Retirement Planning'!$I$53-'Retirement Planning'!$I$54)-'Retirement Planning'!$J$50)*'Retirement Planning'!$I$51),('Retirement Planning'!$J$51-'Retirement Planning'!$J$50)*'Retirement Planning'!$I$51))+(MIN(MAX(0,((SUM(Z126:Z137)-'Retirement Planning'!$I$53-'Retirement Planning'!$I$54)-'Retirement Planning'!$J$49)*'Retirement Planning'!$I$50),('Retirement Planning'!$J$50-'Retirement Planning'!$J$49)*'Retirement Planning'!$I$50)+MIN(MAX(0,((SUM(Z126:Z137)-'Retirement Planning'!$I$53-'Retirement Planning'!$I$54)-'Retirement Planning'!$J$48)*'Retirement Planning'!$I$49),('Retirement Planning'!$J$49-'Retirement Planning'!$J$48)*'Retirement Planning'!$I$49)+MIN(((SUM(Z126:Z137)-'Retirement Planning'!$I$53-'Retirement Planning'!$I$54))*'Retirement Planning'!$I$48,('Retirement Planning'!$J$48)*'Retirement Planning'!$I$48))+(IF((SUM(Z126:Z137)-'Retirement Planning'!$I$54-'Retirement Planning'!$I$61)&gt;'Retirement Planning'!$J$59,(SUM(Z126:Z137)-'Retirement Planning'!$I$54-'Retirement Planning'!$I$61-'Retirement Planning'!$J$59)*'Retirement Planning'!$I$60+'Retirement Planning'!$K$59,IF((SUM(Z126:Z137)-'Retirement Planning'!$I$54-'Retirement Planning'!$I$61)&gt;'Retirement Planning'!$J$58,(SUM(Z126:Z137)-'Retirement Planning'!$I$54-'Retirement Planning'!$I$61-'Retirement Planning'!$J$58)*'Retirement Planning'!$I$59+'Retirement Planning'!$K$58,IF((SUM(Z126:Z137)-'Retirement Planning'!$I$54-'Retirement Planning'!$I$61)&gt;'Retirement Planning'!$J$57,(SUM(Z126:Z137)-'Retirement Planning'!$I$54-'Retirement Planning'!$I$61-'Retirement Planning'!$J$57)*'Retirement Planning'!$I$58+'Retirement Planning'!$K$57,IF((SUM(Z126:Z137)-'Retirement Planning'!$I$54-'Retirement Planning'!$I$61)&gt;'Retirement Planning'!$J$56,(SUM(Z126:Z137)-'Retirement Planning'!$I$54-'Retirement Planning'!$I$61-'Retirement Planning'!$J$56)*'Retirement Planning'!$I$57+'Retirement Planning'!$K$56,(SUM(Z126:Z137)-'Retirement Planning'!$I$54-'Retirement Planning'!$I$61)*'Retirement Planning'!$I$56))))))/12,AA137)</f>
        <v>1545.1799286514581</v>
      </c>
      <c r="AB138" s="104">
        <f t="shared" ca="1" si="49"/>
        <v>0.20672446920371657</v>
      </c>
      <c r="AC138" s="7">
        <f>IF(B138&lt;65,'Retirement Planning'!$J$28,0)</f>
        <v>0</v>
      </c>
      <c r="AD138" s="7">
        <f>IF(B138&lt;65,'Retirement Planning'!$J$29/12,0)</f>
        <v>0</v>
      </c>
      <c r="AE138" s="22">
        <f>'Retirement Planning'!$J$31/12</f>
        <v>58.333333333333336</v>
      </c>
      <c r="AF138" s="22">
        <f>'Retirement Planning'!$J$32/12</f>
        <v>66.666666666666671</v>
      </c>
      <c r="AG138" s="7">
        <f>IF($B138&gt;64.9,'Retirement Planning'!$J$39/12,0)</f>
        <v>183.33333333333334</v>
      </c>
      <c r="AH138" s="7">
        <f>IF($B138&gt;64.9,'Retirement Planning'!$J$40/12,0)</f>
        <v>258.33333333333331</v>
      </c>
      <c r="AI138" s="7">
        <f>IF($B138&gt;64.9,'Retirement Planning'!$J$41/12,0)</f>
        <v>558.33333333333337</v>
      </c>
      <c r="AJ138" s="7">
        <f t="shared" ca="1" si="31"/>
        <v>316.66666666666663</v>
      </c>
      <c r="AK138" s="3" t="str">
        <f t="shared" ca="1" si="32"/>
        <v>N/A</v>
      </c>
      <c r="AL138" s="6" t="str">
        <f t="shared" ca="1" si="33"/>
        <v>N/A</v>
      </c>
      <c r="AM138" s="7">
        <f t="shared" ca="1" si="34"/>
        <v>2.0463630789890885E-12</v>
      </c>
      <c r="AN138" s="7">
        <f t="shared" ca="1" si="35"/>
        <v>9993.3431974076884</v>
      </c>
      <c r="AO138" s="7">
        <f t="shared" si="36"/>
        <v>1125</v>
      </c>
    </row>
    <row r="139" spans="1:41" x14ac:dyDescent="0.2">
      <c r="A139">
        <f t="shared" si="37"/>
        <v>50</v>
      </c>
      <c r="B139" s="5">
        <f t="shared" si="38"/>
        <v>67</v>
      </c>
      <c r="C139" s="56">
        <f t="shared" si="39"/>
        <v>50345</v>
      </c>
      <c r="D139" s="57">
        <f ca="1">IF(AND(B138&lt;59.5,OR(B139&gt;59.5,B139=59.5)),(D138-E138+J138-K138)*(1+'Retirement Planning'!$J$23/12),(D138-E138)*(1+'Retirement Planning'!$J$23/12))</f>
        <v>319886.53832234122</v>
      </c>
      <c r="E139" s="58">
        <f t="shared" ref="E139:E202" ca="1" si="54">MIN(D139,MAX(0,Y139+AA139+AJ139-X139-V139-M139-G139-K139))</f>
        <v>942.38201205402765</v>
      </c>
      <c r="F139" s="57">
        <f ca="1">IF(AND(OR(B139&gt;59.5,B139=59.5),B138&lt;59.5),(F138-G138+L138-M138+N138-O138)*(1+'Retirement Planning'!$J$23/12),(F138-G138)*(1+'Retirement Planning'!$J$23/12))</f>
        <v>1226875.1769365324</v>
      </c>
      <c r="G139" s="58">
        <f ca="1">IF(AND($B$10&lt;55,B139&lt;59.5),'Retirement Planning'!$J$25,IF(OR(B139&gt;59.5,B139=59.5),MAX(0,MIN(F139,IF(D139&lt;2500,((Y139+AJ139+AA139))-X139,((Y139+AJ139+AA139)*'Retirement Planning'!$J$44)-X139))),0))</f>
        <v>6226.2579899002285</v>
      </c>
      <c r="H139" s="255">
        <f ca="1">IF(MONTH(C139)=1,IF(B139&gt;69.5,F139/(INDEX('Retirement Planning'!D$1:D$264,(160+INT(B139))))/12,0),IF(F139=0,0,H138))</f>
        <v>0</v>
      </c>
      <c r="I139" s="262">
        <f t="shared" ref="I139:I202" ca="1" si="55">MAX(0,H139-G139)</f>
        <v>0</v>
      </c>
      <c r="J139" s="254">
        <f ca="1">IF(AND(B138&lt;59.5,OR(B139=59.5,B139&gt;59.5)),0,(J138-K138)*(1+'Retirement Planning'!$J$23/12))</f>
        <v>0</v>
      </c>
      <c r="K139" s="58">
        <f t="shared" ref="K139:K202" ca="1" si="56">IF(B139&gt;59.5,MAX(0,MIN(J139,AA139+Y139+AJ139-O139-M139-G139-X139)),0)</f>
        <v>0</v>
      </c>
      <c r="L139" s="57">
        <f>IF(AND(OR(B139&gt;59.5,B139=59.5),B138&lt;59.5),0,(L138-M138)*(1+'Retirement Planning'!$J$23/12))</f>
        <v>0</v>
      </c>
      <c r="M139" s="59">
        <f>IF(AND($B$10&lt;55,B139&lt;59.5),0,IF(B139&lt;59.5,MAX(0,MIN((($Y139+$AJ139+AA139)*'Retirement Planning'!$J$44)-$G139-$X139,L139)),0))</f>
        <v>0</v>
      </c>
      <c r="N139" s="57">
        <f ca="1">(N138-O138)*(1+'Retirement Planning'!$J$23/12)</f>
        <v>0</v>
      </c>
      <c r="O139" s="59">
        <f ca="1">IF(B139&gt;59.5,MAX(0,MIN((AA139+$Y139+$AJ139)*(IF(D139&lt;(MIN(E127:E138)+1),1,'Retirement Planning'!$J$44))-M139-$G139-$X139-(IF(D139&lt;(MIN(E127:E138)+1),D139,0)),N139)),0)</f>
        <v>0</v>
      </c>
      <c r="P139" s="57">
        <f t="shared" si="40"/>
        <v>0</v>
      </c>
      <c r="Q139" s="58">
        <f t="shared" si="41"/>
        <v>0</v>
      </c>
      <c r="R139" s="57">
        <f ca="1">(R138-S138-T138)*(1+'Retirement Planning'!$J$23/12)</f>
        <v>333800.90575838386</v>
      </c>
      <c r="S139" s="58">
        <f t="shared" ca="1" si="42"/>
        <v>808.33333333333337</v>
      </c>
      <c r="T139" s="273">
        <f t="shared" ref="T139:T202" ca="1" si="57">MIN(AN139-E139-G139-K139-M139-O139-Q139-S139-V139-X139,R139-S139)</f>
        <v>6.8212102632969618E-13</v>
      </c>
      <c r="U139" s="57">
        <f ca="1">(U138-V138)*(1+'Retirement Planning'!$J$23/12)</f>
        <v>266315.15254593716</v>
      </c>
      <c r="V139" s="24">
        <f ca="1">IF(AND($B$10&lt;55,B139&lt;59.5),MIN(U139,MAX(0,(Y139+AA139+AJ139-G139)*'Retirement Planning'!$J$45)),IF(B139&lt;59.5,(MIN(U139,MAX(0,((Y139+AA139+AJ139)-G139-M139)*'Retirement Planning'!$J$45))),MIN(U139,MAX(0,(Y139+AA139+AJ139-G139-M139-K139-X139)*'Retirement Planning'!$J$45))))</f>
        <v>802.76986212009797</v>
      </c>
      <c r="W139" s="7">
        <f t="shared" ref="W139:W202" ca="1" si="58">D139+F139+J139+L139+N139+P139+R139+U139</f>
        <v>2146877.7735631946</v>
      </c>
      <c r="X139" s="7">
        <f>(IF(B139&gt;'Retirement Planning'!$J$34,IF('Retirement Planning'!$J$34=70,'Retirement Planning'!$J$37/12,IF('Retirement Planning'!$J$34=67,'Retirement Planning'!$J$36/12,'Retirement Planning'!$J$35/12)),0))*'Retirement Planning'!$J$38</f>
        <v>1213.6000000000001</v>
      </c>
      <c r="Y139" s="7">
        <f ca="1">'Retirement Planning'!$F$35*((1+'Retirement Planning'!$J$24)^(YEAR('Projected Retirement Drawdown'!C139)-YEAR(TODAY())))</f>
        <v>7323.1632687562305</v>
      </c>
      <c r="Z139" s="7">
        <f ca="1">G139+M139+O139+0.85*X139+V139*'Retirement Planning'!$J$46+T139</f>
        <v>7699.3414140662835</v>
      </c>
      <c r="AA139" s="7">
        <f ca="1">IF(MONTH(C139)=1,(((MIN(MAX(0,((SUM(Z127:Z138)-'Retirement Planning'!$I$53-'Retirement Planning'!$I$54)-'Retirement Planning'!$J$51)*'Retirement Planning'!$I$52))))+(MIN(MAX(0,((SUM(Z127:Z138)-'Retirement Planning'!$I$53-'Retirement Planning'!$I$54)-'Retirement Planning'!$J$50)*'Retirement Planning'!$I$51),('Retirement Planning'!$J$51-'Retirement Planning'!$J$50)*'Retirement Planning'!$I$51))+(MIN(MAX(0,((SUM(Z127:Z138)-'Retirement Planning'!$I$53-'Retirement Planning'!$I$54)-'Retirement Planning'!$J$49)*'Retirement Planning'!$I$50),('Retirement Planning'!$J$50-'Retirement Planning'!$J$49)*'Retirement Planning'!$I$50)+MIN(MAX(0,((SUM(Z127:Z138)-'Retirement Planning'!$I$53-'Retirement Planning'!$I$54)-'Retirement Planning'!$J$48)*'Retirement Planning'!$I$49),('Retirement Planning'!$J$49-'Retirement Planning'!$J$48)*'Retirement Planning'!$I$49)+MIN(((SUM(Z127:Z138)-'Retirement Planning'!$I$53-'Retirement Planning'!$I$54))*'Retirement Planning'!$I$48,('Retirement Planning'!$J$48)*'Retirement Planning'!$I$48))+(IF((SUM(Z127:Z138)-'Retirement Planning'!$I$54-'Retirement Planning'!$I$61)&gt;'Retirement Planning'!$J$59,(SUM(Z127:Z138)-'Retirement Planning'!$I$54-'Retirement Planning'!$I$61-'Retirement Planning'!$J$59)*'Retirement Planning'!$I$60+'Retirement Planning'!$K$59,IF((SUM(Z127:Z138)-'Retirement Planning'!$I$54-'Retirement Planning'!$I$61)&gt;'Retirement Planning'!$J$58,(SUM(Z127:Z138)-'Retirement Planning'!$I$54-'Retirement Planning'!$I$61-'Retirement Planning'!$J$58)*'Retirement Planning'!$I$59+'Retirement Planning'!$K$58,IF((SUM(Z127:Z138)-'Retirement Planning'!$I$54-'Retirement Planning'!$I$61)&gt;'Retirement Planning'!$J$57,(SUM(Z127:Z138)-'Retirement Planning'!$I$54-'Retirement Planning'!$I$61-'Retirement Planning'!$J$57)*'Retirement Planning'!$I$58+'Retirement Planning'!$K$57,IF((SUM(Z127:Z138)-'Retirement Planning'!$I$54-'Retirement Planning'!$I$61)&gt;'Retirement Planning'!$J$56,(SUM(Z127:Z138)-'Retirement Planning'!$I$54-'Retirement Planning'!$I$61-'Retirement Planning'!$J$56)*'Retirement Planning'!$I$57+'Retirement Planning'!$K$56,(SUM(Z127:Z138)-'Retirement Planning'!$I$54-'Retirement Planning'!$I$61)*'Retirement Planning'!$I$56))))))/12,AA138)</f>
        <v>1545.1799286514581</v>
      </c>
      <c r="AB139" s="104">
        <f t="shared" ca="1" si="49"/>
        <v>0.20672446920371657</v>
      </c>
      <c r="AC139" s="7">
        <f>IF(B139&lt;65,'Retirement Planning'!$J$28,0)</f>
        <v>0</v>
      </c>
      <c r="AD139" s="7">
        <f>IF(B139&lt;65,'Retirement Planning'!$J$29/12,0)</f>
        <v>0</v>
      </c>
      <c r="AE139" s="22">
        <f>'Retirement Planning'!$J$31/12</f>
        <v>58.333333333333336</v>
      </c>
      <c r="AF139" s="22">
        <f>'Retirement Planning'!$J$32/12</f>
        <v>66.666666666666671</v>
      </c>
      <c r="AG139" s="7">
        <f>IF($B139&gt;64.9,'Retirement Planning'!$J$39/12,0)</f>
        <v>183.33333333333334</v>
      </c>
      <c r="AH139" s="7">
        <f>IF($B139&gt;64.9,'Retirement Planning'!$J$40/12,0)</f>
        <v>258.33333333333331</v>
      </c>
      <c r="AI139" s="7">
        <f>IF($B139&gt;64.9,'Retirement Planning'!$J$41/12,0)</f>
        <v>558.33333333333337</v>
      </c>
      <c r="AJ139" s="7">
        <f t="shared" ref="AJ139:AJ202" ca="1" si="59">AC139+AD139+AE139+AF139+AG139+AH139+AI139-S139-Q139</f>
        <v>316.66666666666663</v>
      </c>
      <c r="AK139" s="3" t="str">
        <f t="shared" ref="AK139:AK202" ca="1" si="60">IF(AND(R139&lt;AN139,R138&gt;AN138),C139,AK138)</f>
        <v>N/A</v>
      </c>
      <c r="AL139" s="6" t="str">
        <f t="shared" ref="AL139:AL202" ca="1" si="61">IF(AND(R139&lt;AN139,R138&gt;AN138),B139,AL138)</f>
        <v>N/A</v>
      </c>
      <c r="AM139" s="7">
        <f t="shared" ref="AM139:AM202" ca="1" si="62">AA139+Y139+AC139+AD139+AE139+AF139+AG139+AH139+AI139-X139-S139-Q139-O139-M139-K139-G139-E139-V139-T139</f>
        <v>2.0463630789890885E-12</v>
      </c>
      <c r="AN139" s="7">
        <f t="shared" ref="AN139:AN202" ca="1" si="63">AI139+AH139+AG139+AF139+AE139+AD139+AC139+AA139+Y139</f>
        <v>9993.3431974076884</v>
      </c>
      <c r="AO139" s="7">
        <f t="shared" ref="AO139:AO202" si="64">AC139+AD139+AE139+AF139+AG139+AH139+AI139</f>
        <v>1125</v>
      </c>
    </row>
    <row r="140" spans="1:41" x14ac:dyDescent="0.2">
      <c r="A140">
        <f t="shared" ref="A140:A203" si="65">IF(AND(B140&gt;59.5,B139&lt;59.6),ROW(B140),A139)</f>
        <v>50</v>
      </c>
      <c r="B140" s="5">
        <f t="shared" ref="B140:B203" si="66">(INT((((YEAR(C140)-YEAR(DATE(1970,10,16)))*12+MONTH(C140)-MONTH(DATE(1970,10,16)))/12)*10))/10</f>
        <v>67.099999999999994</v>
      </c>
      <c r="C140" s="56">
        <f t="shared" ref="C140:C203" si="67">DATE(YEAR(C139),MONTH(C139)+1,1)</f>
        <v>50375</v>
      </c>
      <c r="D140" s="57">
        <f ca="1">IF(AND(B139&lt;59.5,OR(B140&gt;59.5,B140=59.5)),(D139-E139+J139-K139)*(1+'Retirement Planning'!$J$23/12),(D139-E139)*(1+'Retirement Planning'!$J$23/12))</f>
        <v>321203.34408415173</v>
      </c>
      <c r="E140" s="58">
        <f t="shared" ca="1" si="54"/>
        <v>942.38201205402765</v>
      </c>
      <c r="F140" s="57">
        <f ca="1">IF(AND(OR(B140&gt;59.5,B140=59.5),B139&lt;59.5),(F139-G139+L139-M139+N139-O139)*(1+'Retirement Planning'!$J$23/12),(F139-G139)*(1+'Retirement Planning'!$J$23/12))</f>
        <v>1229295.1821225041</v>
      </c>
      <c r="G140" s="58">
        <f ca="1">IF(AND($B$10&lt;55,B140&lt;59.5),'Retirement Planning'!$J$25,IF(OR(B140&gt;59.5,B140=59.5),MAX(0,MIN(F140,IF(D140&lt;2500,((Y140+AJ140+AA140))-X140,((Y140+AJ140+AA140)*'Retirement Planning'!$J$44)-X140))),0))</f>
        <v>6226.2579899002285</v>
      </c>
      <c r="H140" s="255">
        <f ca="1">IF(MONTH(C140)=1,IF(B140&gt;69.5,F140/(INDEX('Retirement Planning'!D$1:D$264,(160+INT(B140))))/12,0),IF(F140=0,0,H139))</f>
        <v>0</v>
      </c>
      <c r="I140" s="262">
        <f t="shared" ca="1" si="55"/>
        <v>0</v>
      </c>
      <c r="J140" s="254">
        <f ca="1">IF(AND(B139&lt;59.5,OR(B140=59.5,B140&gt;59.5)),0,(J139-K139)*(1+'Retirement Planning'!$J$23/12))</f>
        <v>0</v>
      </c>
      <c r="K140" s="58">
        <f t="shared" ca="1" si="56"/>
        <v>0</v>
      </c>
      <c r="L140" s="57">
        <f>IF(AND(OR(B140&gt;59.5,B140=59.5),B139&lt;59.5),0,(L139-M139)*(1+'Retirement Planning'!$J$23/12))</f>
        <v>0</v>
      </c>
      <c r="M140" s="59">
        <f>IF(AND($B$10&lt;55,B140&lt;59.5),0,IF(B140&lt;59.5,MAX(0,MIN((($Y140+$AJ140+AA140)*'Retirement Planning'!$J$44)-$G140-$X140,L140)),0))</f>
        <v>0</v>
      </c>
      <c r="N140" s="57">
        <f ca="1">(N139-O139)*(1+'Retirement Planning'!$J$23/12)</f>
        <v>0</v>
      </c>
      <c r="O140" s="59">
        <f ca="1">IF(B140&gt;59.5,MAX(0,MIN((AA140+$Y140+$AJ140)*(IF(D140&lt;(MIN(E128:E139)+1),1,'Retirement Planning'!$J$44))-M140-$G140-$X140-(IF(D140&lt;(MIN(E128:E139)+1),D140,0)),N140)),0)</f>
        <v>0</v>
      </c>
      <c r="P140" s="57">
        <f t="shared" ref="P140:P203" si="68">P139-Q139</f>
        <v>0</v>
      </c>
      <c r="Q140" s="58">
        <f t="shared" ref="Q140:Q203" si="69">MIN(AC140+AE140+AH140,P140)</f>
        <v>0</v>
      </c>
      <c r="R140" s="57">
        <f ca="1">(R139-S139-T139)*(1+'Retirement Planning'!$J$23/12)</f>
        <v>335351.26981306134</v>
      </c>
      <c r="S140" s="58">
        <f t="shared" ref="S140:S203" ca="1" si="70">MIN(AD140+AF140+AG140+AI140,R140)</f>
        <v>808.33333333333337</v>
      </c>
      <c r="T140" s="273">
        <f t="shared" ca="1" si="57"/>
        <v>6.8212102632969618E-13</v>
      </c>
      <c r="U140" s="57">
        <f ca="1">(U139-V139)*(1+'Retirement Planning'!$J$23/12)</f>
        <v>267393.09539449413</v>
      </c>
      <c r="V140" s="24">
        <f ca="1">IF(AND($B$10&lt;55,B140&lt;59.5),MIN(U140,MAX(0,(Y140+AA140+AJ140-G140)*'Retirement Planning'!$J$45)),IF(B140&lt;59.5,(MIN(U140,MAX(0,((Y140+AA140+AJ140)-G140-M140)*'Retirement Planning'!$J$45))),MIN(U140,MAX(0,(Y140+AA140+AJ140-G140-M140-K140-X140)*'Retirement Planning'!$J$45))))</f>
        <v>802.76986212009797</v>
      </c>
      <c r="W140" s="7">
        <f t="shared" ca="1" si="58"/>
        <v>2153242.8914142111</v>
      </c>
      <c r="X140" s="7">
        <f>(IF(B140&gt;'Retirement Planning'!$J$34,IF('Retirement Planning'!$J$34=70,'Retirement Planning'!$J$37/12,IF('Retirement Planning'!$J$34=67,'Retirement Planning'!$J$36/12,'Retirement Planning'!$J$35/12)),0))*'Retirement Planning'!$J$38</f>
        <v>1213.6000000000001</v>
      </c>
      <c r="Y140" s="7">
        <f ca="1">'Retirement Planning'!$F$35*((1+'Retirement Planning'!$J$24)^(YEAR('Projected Retirement Drawdown'!C140)-YEAR(TODAY())))</f>
        <v>7323.1632687562305</v>
      </c>
      <c r="Z140" s="7">
        <f ca="1">G140+M140+O140+0.85*X140+V140*'Retirement Planning'!$J$46+T140</f>
        <v>7699.3414140662835</v>
      </c>
      <c r="AA140" s="7">
        <f ca="1">IF(MONTH(C140)=1,(((MIN(MAX(0,((SUM(Z128:Z139)-'Retirement Planning'!$I$53-'Retirement Planning'!$I$54)-'Retirement Planning'!$J$51)*'Retirement Planning'!$I$52))))+(MIN(MAX(0,((SUM(Z128:Z139)-'Retirement Planning'!$I$53-'Retirement Planning'!$I$54)-'Retirement Planning'!$J$50)*'Retirement Planning'!$I$51),('Retirement Planning'!$J$51-'Retirement Planning'!$J$50)*'Retirement Planning'!$I$51))+(MIN(MAX(0,((SUM(Z128:Z139)-'Retirement Planning'!$I$53-'Retirement Planning'!$I$54)-'Retirement Planning'!$J$49)*'Retirement Planning'!$I$50),('Retirement Planning'!$J$50-'Retirement Planning'!$J$49)*'Retirement Planning'!$I$50)+MIN(MAX(0,((SUM(Z128:Z139)-'Retirement Planning'!$I$53-'Retirement Planning'!$I$54)-'Retirement Planning'!$J$48)*'Retirement Planning'!$I$49),('Retirement Planning'!$J$49-'Retirement Planning'!$J$48)*'Retirement Planning'!$I$49)+MIN(((SUM(Z128:Z139)-'Retirement Planning'!$I$53-'Retirement Planning'!$I$54))*'Retirement Planning'!$I$48,('Retirement Planning'!$J$48)*'Retirement Planning'!$I$48))+(IF((SUM(Z128:Z139)-'Retirement Planning'!$I$54-'Retirement Planning'!$I$61)&gt;'Retirement Planning'!$J$59,(SUM(Z128:Z139)-'Retirement Planning'!$I$54-'Retirement Planning'!$I$61-'Retirement Planning'!$J$59)*'Retirement Planning'!$I$60+'Retirement Planning'!$K$59,IF((SUM(Z128:Z139)-'Retirement Planning'!$I$54-'Retirement Planning'!$I$61)&gt;'Retirement Planning'!$J$58,(SUM(Z128:Z139)-'Retirement Planning'!$I$54-'Retirement Planning'!$I$61-'Retirement Planning'!$J$58)*'Retirement Planning'!$I$59+'Retirement Planning'!$K$58,IF((SUM(Z128:Z139)-'Retirement Planning'!$I$54-'Retirement Planning'!$I$61)&gt;'Retirement Planning'!$J$57,(SUM(Z128:Z139)-'Retirement Planning'!$I$54-'Retirement Planning'!$I$61-'Retirement Planning'!$J$57)*'Retirement Planning'!$I$58+'Retirement Planning'!$K$57,IF((SUM(Z128:Z139)-'Retirement Planning'!$I$54-'Retirement Planning'!$I$61)&gt;'Retirement Planning'!$J$56,(SUM(Z128:Z139)-'Retirement Planning'!$I$54-'Retirement Planning'!$I$61-'Retirement Planning'!$J$56)*'Retirement Planning'!$I$57+'Retirement Planning'!$K$56,(SUM(Z128:Z139)-'Retirement Planning'!$I$54-'Retirement Planning'!$I$61)*'Retirement Planning'!$I$56))))))/12,AA139)</f>
        <v>1545.1799286514581</v>
      </c>
      <c r="AB140" s="104">
        <f t="shared" ca="1" si="49"/>
        <v>0.20672446920371657</v>
      </c>
      <c r="AC140" s="7">
        <f>IF(B140&lt;65,'Retirement Planning'!$J$28,0)</f>
        <v>0</v>
      </c>
      <c r="AD140" s="7">
        <f>IF(B140&lt;65,'Retirement Planning'!$J$29/12,0)</f>
        <v>0</v>
      </c>
      <c r="AE140" s="22">
        <f>'Retirement Planning'!$J$31/12</f>
        <v>58.333333333333336</v>
      </c>
      <c r="AF140" s="22">
        <f>'Retirement Planning'!$J$32/12</f>
        <v>66.666666666666671</v>
      </c>
      <c r="AG140" s="7">
        <f>IF($B140&gt;64.9,'Retirement Planning'!$J$39/12,0)</f>
        <v>183.33333333333334</v>
      </c>
      <c r="AH140" s="7">
        <f>IF($B140&gt;64.9,'Retirement Planning'!$J$40/12,0)</f>
        <v>258.33333333333331</v>
      </c>
      <c r="AI140" s="7">
        <f>IF($B140&gt;64.9,'Retirement Planning'!$J$41/12,0)</f>
        <v>558.33333333333337</v>
      </c>
      <c r="AJ140" s="7">
        <f t="shared" ca="1" si="59"/>
        <v>316.66666666666663</v>
      </c>
      <c r="AK140" s="3" t="str">
        <f t="shared" ca="1" si="60"/>
        <v>N/A</v>
      </c>
      <c r="AL140" s="6" t="str">
        <f t="shared" ca="1" si="61"/>
        <v>N/A</v>
      </c>
      <c r="AM140" s="7">
        <f t="shared" ca="1" si="62"/>
        <v>2.0463630789890885E-12</v>
      </c>
      <c r="AN140" s="7">
        <f t="shared" ca="1" si="63"/>
        <v>9993.3431974076884</v>
      </c>
      <c r="AO140" s="7">
        <f t="shared" si="64"/>
        <v>1125</v>
      </c>
    </row>
    <row r="141" spans="1:41" x14ac:dyDescent="0.2">
      <c r="A141">
        <f t="shared" si="65"/>
        <v>50</v>
      </c>
      <c r="B141" s="5">
        <f t="shared" si="66"/>
        <v>67.2</v>
      </c>
      <c r="C141" s="56">
        <f t="shared" si="67"/>
        <v>50406</v>
      </c>
      <c r="D141" s="57">
        <f ca="1">IF(AND(B140&lt;59.5,OR(B141&gt;59.5,B141=59.5)),(D140-E140+J140-K140)*(1+'Retirement Planning'!$J$23/12),(D140-E140)*(1+'Retirement Planning'!$J$23/12))</f>
        <v>322529.47722010838</v>
      </c>
      <c r="E141" s="58">
        <f t="shared" ca="1" si="54"/>
        <v>975.42219243641921</v>
      </c>
      <c r="F141" s="57">
        <f ca="1">IF(AND(OR(B141&gt;59.5,B141=59.5),B140&lt;59.5),(F140-G140+L140-M140+N140-O140)*(1+'Retirement Planning'!$J$23/12),(F140-G140)*(1+'Retirement Planning'!$J$23/12))</f>
        <v>1231732.3290118766</v>
      </c>
      <c r="G141" s="58">
        <f ca="1">IF(AND($B$10&lt;55,B141&lt;59.5),'Retirement Planning'!$J$25,IF(OR(B141&gt;59.5,B141=59.5),MAX(0,MIN(F141,IF(D141&lt;2500,((Y141+AJ141+AA141))-X141,((Y141+AJ141+AA141)*'Retirement Planning'!$J$44)-X141))),0))</f>
        <v>6487.1015192349014</v>
      </c>
      <c r="H141" s="255">
        <f>IF(MONTH(C141)=1,IF(B141&gt;69.5,F141/(INDEX('Retirement Planning'!D$1:D$264,(160+INT(B141))))/12,0),IF(F141=0,0,H140))</f>
        <v>0</v>
      </c>
      <c r="I141" s="262">
        <f t="shared" ca="1" si="55"/>
        <v>0</v>
      </c>
      <c r="J141" s="254">
        <f ca="1">IF(AND(B140&lt;59.5,OR(B141=59.5,B141&gt;59.5)),0,(J140-K140)*(1+'Retirement Planning'!$J$23/12))</f>
        <v>0</v>
      </c>
      <c r="K141" s="58">
        <f t="shared" ca="1" si="56"/>
        <v>0</v>
      </c>
      <c r="L141" s="57">
        <f>IF(AND(OR(B141&gt;59.5,B141=59.5),B140&lt;59.5),0,(L140-M140)*(1+'Retirement Planning'!$J$23/12))</f>
        <v>0</v>
      </c>
      <c r="M141" s="59">
        <f>IF(AND($B$10&lt;55,B141&lt;59.5),0,IF(B141&lt;59.5,MAX(0,MIN((($Y141+$AJ141+AA141)*'Retirement Planning'!$J$44)-$G141-$X141,L141)),0))</f>
        <v>0</v>
      </c>
      <c r="N141" s="57">
        <f ca="1">(N140-O140)*(1+'Retirement Planning'!$J$23/12)</f>
        <v>0</v>
      </c>
      <c r="O141" s="59">
        <f ca="1">IF(B141&gt;59.5,MAX(0,MIN((AA141+$Y141+$AJ141)*(IF(D141&lt;(MIN(E129:E140)+1),1,'Retirement Planning'!$J$44))-M141-$G141-$X141-(IF(D141&lt;(MIN(E129:E140)+1),D141,0)),N141)),0)</f>
        <v>0</v>
      </c>
      <c r="P141" s="57">
        <f t="shared" si="68"/>
        <v>0</v>
      </c>
      <c r="Q141" s="58">
        <f t="shared" si="69"/>
        <v>0</v>
      </c>
      <c r="R141" s="57">
        <f ca="1">(R140-S140-T140)*(1+'Retirement Planning'!$J$23/12)</f>
        <v>336912.61561312608</v>
      </c>
      <c r="S141" s="58">
        <f t="shared" ca="1" si="70"/>
        <v>808.33333333333337</v>
      </c>
      <c r="T141" s="273">
        <f t="shared" ca="1" si="57"/>
        <v>6.8212102632969618E-13</v>
      </c>
      <c r="U141" s="57">
        <f ca="1">(U140-V140)*(1+'Retirement Planning'!$J$23/12)</f>
        <v>268478.6736715617</v>
      </c>
      <c r="V141" s="24">
        <f ca="1">IF(AND($B$10&lt;55,B141&lt;59.5),MIN(U141,MAX(0,(Y141+AA141+AJ141-G141)*'Retirement Planning'!$J$45)),IF(B141&lt;59.5,(MIN(U141,MAX(0,((Y141+AA141+AJ141)-G141-M141)*'Retirement Planning'!$J$45))),MIN(U141,MAX(0,(Y141+AA141+AJ141-G141-M141-K141-X141)*'Retirement Planning'!$J$45))))</f>
        <v>830.9152009643575</v>
      </c>
      <c r="W141" s="7">
        <f t="shared" ca="1" si="58"/>
        <v>2159653.0955166728</v>
      </c>
      <c r="X141" s="7">
        <f>(IF(B141&gt;'Retirement Planning'!$J$34,IF('Retirement Planning'!$J$34=70,'Retirement Planning'!$J$37/12,IF('Retirement Planning'!$J$34=67,'Retirement Planning'!$J$36/12,'Retirement Planning'!$J$35/12)),0))*'Retirement Planning'!$J$38</f>
        <v>1213.6000000000001</v>
      </c>
      <c r="Y141" s="7">
        <f ca="1">'Retirement Planning'!$F$35*((1+'Retirement Planning'!$J$24)^(YEAR('Projected Retirement Drawdown'!C141)-YEAR(TODAY())))</f>
        <v>7579.4739831626985</v>
      </c>
      <c r="Z141" s="7">
        <f ca="1">G141+M141+O141+0.85*X141+V141*'Retirement Planning'!$J$46+T141</f>
        <v>7975.6648797652997</v>
      </c>
      <c r="AA141" s="7">
        <f ca="1">IF(MONTH(C141)=1,(((MIN(MAX(0,((SUM(Z129:Z140)-'Retirement Planning'!$I$53-'Retirement Planning'!$I$54)-'Retirement Planning'!$J$51)*'Retirement Planning'!$I$52))))+(MIN(MAX(0,((SUM(Z129:Z140)-'Retirement Planning'!$I$53-'Retirement Planning'!$I$54)-'Retirement Planning'!$J$50)*'Retirement Planning'!$I$51),('Retirement Planning'!$J$51-'Retirement Planning'!$J$50)*'Retirement Planning'!$I$51))+(MIN(MAX(0,((SUM(Z129:Z140)-'Retirement Planning'!$I$53-'Retirement Planning'!$I$54)-'Retirement Planning'!$J$49)*'Retirement Planning'!$I$50),('Retirement Planning'!$J$50-'Retirement Planning'!$J$49)*'Retirement Planning'!$I$50)+MIN(MAX(0,((SUM(Z129:Z140)-'Retirement Planning'!$I$53-'Retirement Planning'!$I$54)-'Retirement Planning'!$J$48)*'Retirement Planning'!$I$49),('Retirement Planning'!$J$49-'Retirement Planning'!$J$48)*'Retirement Planning'!$I$49)+MIN(((SUM(Z129:Z140)-'Retirement Planning'!$I$53-'Retirement Planning'!$I$54))*'Retirement Planning'!$I$48,('Retirement Planning'!$J$48)*'Retirement Planning'!$I$48))+(IF((SUM(Z129:Z140)-'Retirement Planning'!$I$54-'Retirement Planning'!$I$61)&gt;'Retirement Planning'!$J$59,(SUM(Z129:Z140)-'Retirement Planning'!$I$54-'Retirement Planning'!$I$61-'Retirement Planning'!$J$59)*'Retirement Planning'!$I$60+'Retirement Planning'!$K$59,IF((SUM(Z129:Z140)-'Retirement Planning'!$I$54-'Retirement Planning'!$I$61)&gt;'Retirement Planning'!$J$58,(SUM(Z129:Z140)-'Retirement Planning'!$I$54-'Retirement Planning'!$I$61-'Retirement Planning'!$J$58)*'Retirement Planning'!$I$59+'Retirement Planning'!$K$58,IF((SUM(Z129:Z140)-'Retirement Planning'!$I$54-'Retirement Planning'!$I$61)&gt;'Retirement Planning'!$J$57,(SUM(Z129:Z140)-'Retirement Planning'!$I$54-'Retirement Planning'!$I$61-'Retirement Planning'!$J$57)*'Retirement Planning'!$I$58+'Retirement Planning'!$K$57,IF((SUM(Z129:Z140)-'Retirement Planning'!$I$54-'Retirement Planning'!$I$61)&gt;'Retirement Planning'!$J$56,(SUM(Z129:Z140)-'Retirement Planning'!$I$54-'Retirement Planning'!$I$61-'Retirement Planning'!$J$56)*'Retirement Planning'!$I$57+'Retirement Planning'!$K$56,(SUM(Z129:Z140)-'Retirement Planning'!$I$54-'Retirement Planning'!$I$61)*'Retirement Planning'!$I$56))))))/12,AA140)</f>
        <v>1610.8982628063143</v>
      </c>
      <c r="AB141" s="104">
        <f t="shared" ref="AB141" ca="1" si="71">SUM(AA141:AA152)/SUM(Z129:Z140)</f>
        <v>0.20922546178602885</v>
      </c>
      <c r="AC141" s="7">
        <f>IF(B141&lt;65,'Retirement Planning'!$J$28,0)</f>
        <v>0</v>
      </c>
      <c r="AD141" s="7">
        <f>IF(B141&lt;65,'Retirement Planning'!$J$29/12,0)</f>
        <v>0</v>
      </c>
      <c r="AE141" s="22">
        <f>'Retirement Planning'!$J$31/12</f>
        <v>58.333333333333336</v>
      </c>
      <c r="AF141" s="22">
        <f>'Retirement Planning'!$J$32/12</f>
        <v>66.666666666666671</v>
      </c>
      <c r="AG141" s="7">
        <f>IF($B141&gt;64.9,'Retirement Planning'!$J$39/12,0)</f>
        <v>183.33333333333334</v>
      </c>
      <c r="AH141" s="7">
        <f>IF($B141&gt;64.9,'Retirement Planning'!$J$40/12,0)</f>
        <v>258.33333333333331</v>
      </c>
      <c r="AI141" s="7">
        <f>IF($B141&gt;64.9,'Retirement Planning'!$J$41/12,0)</f>
        <v>558.33333333333337</v>
      </c>
      <c r="AJ141" s="7">
        <f t="shared" ca="1" si="59"/>
        <v>316.66666666666663</v>
      </c>
      <c r="AK141" s="3" t="str">
        <f t="shared" ca="1" si="60"/>
        <v>N/A</v>
      </c>
      <c r="AL141" s="6" t="str">
        <f t="shared" ca="1" si="61"/>
        <v>N/A</v>
      </c>
      <c r="AM141" s="7">
        <f t="shared" ca="1" si="62"/>
        <v>1.2505552149377763E-12</v>
      </c>
      <c r="AN141" s="7">
        <f t="shared" ca="1" si="63"/>
        <v>10315.372245969013</v>
      </c>
      <c r="AO141" s="7">
        <f t="shared" si="64"/>
        <v>1125</v>
      </c>
    </row>
    <row r="142" spans="1:41" x14ac:dyDescent="0.2">
      <c r="A142">
        <f t="shared" si="65"/>
        <v>50</v>
      </c>
      <c r="B142" s="5">
        <f t="shared" si="66"/>
        <v>67.3</v>
      </c>
      <c r="C142" s="56">
        <f t="shared" si="67"/>
        <v>50437</v>
      </c>
      <c r="D142" s="57">
        <f ca="1">IF(AND(B141&lt;59.5,OR(B142&gt;59.5,B142=59.5)),(D141-E141+J141-K141)*(1+'Retirement Planning'!$J$23/12),(D141-E141)*(1+'Retirement Planning'!$J$23/12))</f>
        <v>323831.729584118</v>
      </c>
      <c r="E142" s="58">
        <f t="shared" ca="1" si="54"/>
        <v>975.42219243641921</v>
      </c>
      <c r="F142" s="57">
        <f ca="1">IF(AND(OR(B142&gt;59.5,B142=59.5),B141&lt;59.5),(F141-G141+L141-M141+N141-O141)*(1+'Retirement Planning'!$J$23/12),(F141-G141)*(1+'Retirement Planning'!$J$23/12))</f>
        <v>1233924.047854048</v>
      </c>
      <c r="G142" s="58">
        <f ca="1">IF(AND($B$10&lt;55,B142&lt;59.5),'Retirement Planning'!$J$25,IF(OR(B142&gt;59.5,B142=59.5),MAX(0,MIN(F142,IF(D142&lt;2500,((Y142+AJ142+AA142))-X142,((Y142+AJ142+AA142)*'Retirement Planning'!$J$44)-X142))),0))</f>
        <v>6487.1015192349014</v>
      </c>
      <c r="H142" s="255">
        <f ca="1">IF(MONTH(C142)=1,IF(B142&gt;69.5,F142/(INDEX('Retirement Planning'!D$1:D$264,(160+INT(B142))))/12,0),IF(F142=0,0,H141))</f>
        <v>0</v>
      </c>
      <c r="I142" s="262">
        <f t="shared" ca="1" si="55"/>
        <v>0</v>
      </c>
      <c r="J142" s="254">
        <f ca="1">IF(AND(B141&lt;59.5,OR(B142=59.5,B142&gt;59.5)),0,(J141-K141)*(1+'Retirement Planning'!$J$23/12))</f>
        <v>0</v>
      </c>
      <c r="K142" s="58">
        <f t="shared" ca="1" si="56"/>
        <v>0</v>
      </c>
      <c r="L142" s="57">
        <f>IF(AND(OR(B142&gt;59.5,B142=59.5),B141&lt;59.5),0,(L141-M141)*(1+'Retirement Planning'!$J$23/12))</f>
        <v>0</v>
      </c>
      <c r="M142" s="59">
        <f>IF(AND($B$10&lt;55,B142&lt;59.5),0,IF(B142&lt;59.5,MAX(0,MIN((($Y142+$AJ142+AA142)*'Retirement Planning'!$J$44)-$G142-$X142,L142)),0))</f>
        <v>0</v>
      </c>
      <c r="N142" s="57">
        <f ca="1">(N141-O141)*(1+'Retirement Planning'!$J$23/12)</f>
        <v>0</v>
      </c>
      <c r="O142" s="59">
        <f ca="1">IF(B142&gt;59.5,MAX(0,MIN((AA142+$Y142+$AJ142)*(IF(D142&lt;(MIN(E130:E141)+1),1,'Retirement Planning'!$J$44))-M142-$G142-$X142-(IF(D142&lt;(MIN(E130:E141)+1),D142,0)),N142)),0)</f>
        <v>0</v>
      </c>
      <c r="P142" s="57">
        <f t="shared" si="68"/>
        <v>0</v>
      </c>
      <c r="Q142" s="58">
        <f t="shared" si="69"/>
        <v>0</v>
      </c>
      <c r="R142" s="57">
        <f ca="1">(R141-S141-T141)*(1+'Retirement Planning'!$J$23/12)</f>
        <v>338485.02094594127</v>
      </c>
      <c r="S142" s="58">
        <f t="shared" ca="1" si="70"/>
        <v>808.33333333333337</v>
      </c>
      <c r="T142" s="273">
        <f t="shared" ca="1" si="57"/>
        <v>6.8212102632969618E-13</v>
      </c>
      <c r="U142" s="57">
        <f ca="1">(U141-V141)*(1+'Retirement Planning'!$J$23/12)</f>
        <v>269543.59675976407</v>
      </c>
      <c r="V142" s="24">
        <f ca="1">IF(AND($B$10&lt;55,B142&lt;59.5),MIN(U142,MAX(0,(Y142+AA142+AJ142-G142)*'Retirement Planning'!$J$45)),IF(B142&lt;59.5,(MIN(U142,MAX(0,((Y142+AA142+AJ142)-G142-M142)*'Retirement Planning'!$J$45))),MIN(U142,MAX(0,(Y142+AA142+AJ142-G142-M142-K142-X142)*'Retirement Planning'!$J$45))))</f>
        <v>830.9152009643575</v>
      </c>
      <c r="W142" s="7">
        <f t="shared" ca="1" si="58"/>
        <v>2165784.3951438717</v>
      </c>
      <c r="X142" s="7">
        <f>(IF(B142&gt;'Retirement Planning'!$J$34,IF('Retirement Planning'!$J$34=70,'Retirement Planning'!$J$37/12,IF('Retirement Planning'!$J$34=67,'Retirement Planning'!$J$36/12,'Retirement Planning'!$J$35/12)),0))*'Retirement Planning'!$J$38</f>
        <v>1213.6000000000001</v>
      </c>
      <c r="Y142" s="7">
        <f ca="1">'Retirement Planning'!$F$35*((1+'Retirement Planning'!$J$24)^(YEAR('Projected Retirement Drawdown'!C142)-YEAR(TODAY())))</f>
        <v>7579.4739831626985</v>
      </c>
      <c r="Z142" s="7">
        <f ca="1">G142+M142+O142+0.85*X142+V142*'Retirement Planning'!$J$46+T142</f>
        <v>7975.6648797652997</v>
      </c>
      <c r="AA142" s="7">
        <f ca="1">IF(MONTH(C142)=1,(((MIN(MAX(0,((SUM(Z130:Z141)-'Retirement Planning'!$I$53-'Retirement Planning'!$I$54)-'Retirement Planning'!$J$51)*'Retirement Planning'!$I$52))))+(MIN(MAX(0,((SUM(Z130:Z141)-'Retirement Planning'!$I$53-'Retirement Planning'!$I$54)-'Retirement Planning'!$J$50)*'Retirement Planning'!$I$51),('Retirement Planning'!$J$51-'Retirement Planning'!$J$50)*'Retirement Planning'!$I$51))+(MIN(MAX(0,((SUM(Z130:Z141)-'Retirement Planning'!$I$53-'Retirement Planning'!$I$54)-'Retirement Planning'!$J$49)*'Retirement Planning'!$I$50),('Retirement Planning'!$J$50-'Retirement Planning'!$J$49)*'Retirement Planning'!$I$50)+MIN(MAX(0,((SUM(Z130:Z141)-'Retirement Planning'!$I$53-'Retirement Planning'!$I$54)-'Retirement Planning'!$J$48)*'Retirement Planning'!$I$49),('Retirement Planning'!$J$49-'Retirement Planning'!$J$48)*'Retirement Planning'!$I$49)+MIN(((SUM(Z130:Z141)-'Retirement Planning'!$I$53-'Retirement Planning'!$I$54))*'Retirement Planning'!$I$48,('Retirement Planning'!$J$48)*'Retirement Planning'!$I$48))+(IF((SUM(Z130:Z141)-'Retirement Planning'!$I$54-'Retirement Planning'!$I$61)&gt;'Retirement Planning'!$J$59,(SUM(Z130:Z141)-'Retirement Planning'!$I$54-'Retirement Planning'!$I$61-'Retirement Planning'!$J$59)*'Retirement Planning'!$I$60+'Retirement Planning'!$K$59,IF((SUM(Z130:Z141)-'Retirement Planning'!$I$54-'Retirement Planning'!$I$61)&gt;'Retirement Planning'!$J$58,(SUM(Z130:Z141)-'Retirement Planning'!$I$54-'Retirement Planning'!$I$61-'Retirement Planning'!$J$58)*'Retirement Planning'!$I$59+'Retirement Planning'!$K$58,IF((SUM(Z130:Z141)-'Retirement Planning'!$I$54-'Retirement Planning'!$I$61)&gt;'Retirement Planning'!$J$57,(SUM(Z130:Z141)-'Retirement Planning'!$I$54-'Retirement Planning'!$I$61-'Retirement Planning'!$J$57)*'Retirement Planning'!$I$58+'Retirement Planning'!$K$57,IF((SUM(Z130:Z141)-'Retirement Planning'!$I$54-'Retirement Planning'!$I$61)&gt;'Retirement Planning'!$J$56,(SUM(Z130:Z141)-'Retirement Planning'!$I$54-'Retirement Planning'!$I$61-'Retirement Planning'!$J$56)*'Retirement Planning'!$I$57+'Retirement Planning'!$K$56,(SUM(Z130:Z141)-'Retirement Planning'!$I$54-'Retirement Planning'!$I$61)*'Retirement Planning'!$I$56))))))/12,AA141)</f>
        <v>1610.8982628063143</v>
      </c>
      <c r="AB142" s="104">
        <f t="shared" ref="AB142:AB205" ca="1" si="72">AB141</f>
        <v>0.20922546178602885</v>
      </c>
      <c r="AC142" s="7">
        <f>IF(B142&lt;65,'Retirement Planning'!$J$28,0)</f>
        <v>0</v>
      </c>
      <c r="AD142" s="7">
        <f>IF(B142&lt;65,'Retirement Planning'!$J$29/12,0)</f>
        <v>0</v>
      </c>
      <c r="AE142" s="22">
        <f>'Retirement Planning'!$J$31/12</f>
        <v>58.333333333333336</v>
      </c>
      <c r="AF142" s="22">
        <f>'Retirement Planning'!$J$32/12</f>
        <v>66.666666666666671</v>
      </c>
      <c r="AG142" s="7">
        <f>IF($B142&gt;64.9,'Retirement Planning'!$J$39/12,0)</f>
        <v>183.33333333333334</v>
      </c>
      <c r="AH142" s="7">
        <f>IF($B142&gt;64.9,'Retirement Planning'!$J$40/12,0)</f>
        <v>258.33333333333331</v>
      </c>
      <c r="AI142" s="7">
        <f>IF($B142&gt;64.9,'Retirement Planning'!$J$41/12,0)</f>
        <v>558.33333333333337</v>
      </c>
      <c r="AJ142" s="7">
        <f t="shared" ca="1" si="59"/>
        <v>316.66666666666663</v>
      </c>
      <c r="AK142" s="3" t="str">
        <f t="shared" ca="1" si="60"/>
        <v>N/A</v>
      </c>
      <c r="AL142" s="6" t="str">
        <f t="shared" ca="1" si="61"/>
        <v>N/A</v>
      </c>
      <c r="AM142" s="7">
        <f t="shared" ca="1" si="62"/>
        <v>1.2505552149377763E-12</v>
      </c>
      <c r="AN142" s="7">
        <f t="shared" ca="1" si="63"/>
        <v>10315.372245969013</v>
      </c>
      <c r="AO142" s="7">
        <f t="shared" si="64"/>
        <v>1125</v>
      </c>
    </row>
    <row r="143" spans="1:41" x14ac:dyDescent="0.2">
      <c r="A143">
        <f t="shared" si="65"/>
        <v>50</v>
      </c>
      <c r="B143" s="5">
        <f t="shared" si="66"/>
        <v>67.400000000000006</v>
      </c>
      <c r="C143" s="56">
        <f t="shared" si="67"/>
        <v>50465</v>
      </c>
      <c r="D143" s="57">
        <f ca="1">IF(AND(B142&lt;59.5,OR(B143&gt;59.5,B143=59.5)),(D142-E142+J142-K142)*(1+'Retirement Planning'!$J$23/12),(D142-E142)*(1+'Retirement Planning'!$J$23/12))</f>
        <v>325143.20623570599</v>
      </c>
      <c r="E143" s="58">
        <f t="shared" ca="1" si="54"/>
        <v>975.42219243641921</v>
      </c>
      <c r="F143" s="57">
        <f ca="1">IF(AND(OR(B143&gt;59.5,B143=59.5),B142&lt;59.5),(F142-G142+L142-M142+N142-O142)*(1+'Retirement Planning'!$J$23/12),(F142-G142)*(1+'Retirement Planning'!$J$23/12))</f>
        <v>1236131.2913713513</v>
      </c>
      <c r="G143" s="58">
        <f ca="1">IF(AND($B$10&lt;55,B143&lt;59.5),'Retirement Planning'!$J$25,IF(OR(B143&gt;59.5,B143=59.5),MAX(0,MIN(F143,IF(D143&lt;2500,((Y143+AJ143+AA143))-X143,((Y143+AJ143+AA143)*'Retirement Planning'!$J$44)-X143))),0))</f>
        <v>6487.1015192349014</v>
      </c>
      <c r="H143" s="255">
        <f ca="1">IF(MONTH(C143)=1,IF(B143&gt;69.5,F143/(INDEX('Retirement Planning'!D$1:D$264,(160+INT(B143))))/12,0),IF(F143=0,0,H142))</f>
        <v>0</v>
      </c>
      <c r="I143" s="262">
        <f t="shared" ca="1" si="55"/>
        <v>0</v>
      </c>
      <c r="J143" s="254">
        <f ca="1">IF(AND(B142&lt;59.5,OR(B143=59.5,B143&gt;59.5)),0,(J142-K142)*(1+'Retirement Planning'!$J$23/12))</f>
        <v>0</v>
      </c>
      <c r="K143" s="58">
        <f t="shared" ca="1" si="56"/>
        <v>0</v>
      </c>
      <c r="L143" s="57">
        <f>IF(AND(OR(B143&gt;59.5,B143=59.5),B142&lt;59.5),0,(L142-M142)*(1+'Retirement Planning'!$J$23/12))</f>
        <v>0</v>
      </c>
      <c r="M143" s="59">
        <f>IF(AND($B$10&lt;55,B143&lt;59.5),0,IF(B143&lt;59.5,MAX(0,MIN((($Y143+$AJ143+AA143)*'Retirement Planning'!$J$44)-$G143-$X143,L143)),0))</f>
        <v>0</v>
      </c>
      <c r="N143" s="57">
        <f ca="1">(N142-O142)*(1+'Retirement Planning'!$J$23/12)</f>
        <v>0</v>
      </c>
      <c r="O143" s="59">
        <f ca="1">IF(B143&gt;59.5,MAX(0,MIN((AA143+$Y143+$AJ143)*(IF(D143&lt;(MIN(E131:E142)+1),1,'Retirement Planning'!$J$44))-M143-$G143-$X143-(IF(D143&lt;(MIN(E131:E142)+1),D143,0)),N143)),0)</f>
        <v>0</v>
      </c>
      <c r="P143" s="57">
        <f t="shared" si="68"/>
        <v>0</v>
      </c>
      <c r="Q143" s="58">
        <f t="shared" si="69"/>
        <v>0</v>
      </c>
      <c r="R143" s="57">
        <f ca="1">(R142-S142-T142)*(1+'Retirement Planning'!$J$23/12)</f>
        <v>340068.56414986396</v>
      </c>
      <c r="S143" s="58">
        <f t="shared" ca="1" si="70"/>
        <v>808.33333333333337</v>
      </c>
      <c r="T143" s="273">
        <f t="shared" ca="1" si="57"/>
        <v>6.8212102632969618E-13</v>
      </c>
      <c r="U143" s="57">
        <f ca="1">(U142-V142)*(1+'Retirement Planning'!$J$23/12)</f>
        <v>270616.06305317453</v>
      </c>
      <c r="V143" s="24">
        <f ca="1">IF(AND($B$10&lt;55,B143&lt;59.5),MIN(U143,MAX(0,(Y143+AA143+AJ143-G143)*'Retirement Planning'!$J$45)),IF(B143&lt;59.5,(MIN(U143,MAX(0,((Y143+AA143+AJ143)-G143-M143)*'Retirement Planning'!$J$45))),MIN(U143,MAX(0,(Y143+AA143+AJ143-G143-M143-K143-X143)*'Retirement Planning'!$J$45))))</f>
        <v>830.9152009643575</v>
      </c>
      <c r="W143" s="7">
        <f t="shared" ca="1" si="58"/>
        <v>2171959.1248100959</v>
      </c>
      <c r="X143" s="7">
        <f>(IF(B143&gt;'Retirement Planning'!$J$34,IF('Retirement Planning'!$J$34=70,'Retirement Planning'!$J$37/12,IF('Retirement Planning'!$J$34=67,'Retirement Planning'!$J$36/12,'Retirement Planning'!$J$35/12)),0))*'Retirement Planning'!$J$38</f>
        <v>1213.6000000000001</v>
      </c>
      <c r="Y143" s="7">
        <f ca="1">'Retirement Planning'!$F$35*((1+'Retirement Planning'!$J$24)^(YEAR('Projected Retirement Drawdown'!C143)-YEAR(TODAY())))</f>
        <v>7579.4739831626985</v>
      </c>
      <c r="Z143" s="7">
        <f ca="1">G143+M143+O143+0.85*X143+V143*'Retirement Planning'!$J$46+T143</f>
        <v>7975.6648797652997</v>
      </c>
      <c r="AA143" s="7">
        <f ca="1">IF(MONTH(C143)=1,(((MIN(MAX(0,((SUM(Z131:Z142)-'Retirement Planning'!$I$53-'Retirement Planning'!$I$54)-'Retirement Planning'!$J$51)*'Retirement Planning'!$I$52))))+(MIN(MAX(0,((SUM(Z131:Z142)-'Retirement Planning'!$I$53-'Retirement Planning'!$I$54)-'Retirement Planning'!$J$50)*'Retirement Planning'!$I$51),('Retirement Planning'!$J$51-'Retirement Planning'!$J$50)*'Retirement Planning'!$I$51))+(MIN(MAX(0,((SUM(Z131:Z142)-'Retirement Planning'!$I$53-'Retirement Planning'!$I$54)-'Retirement Planning'!$J$49)*'Retirement Planning'!$I$50),('Retirement Planning'!$J$50-'Retirement Planning'!$J$49)*'Retirement Planning'!$I$50)+MIN(MAX(0,((SUM(Z131:Z142)-'Retirement Planning'!$I$53-'Retirement Planning'!$I$54)-'Retirement Planning'!$J$48)*'Retirement Planning'!$I$49),('Retirement Planning'!$J$49-'Retirement Planning'!$J$48)*'Retirement Planning'!$I$49)+MIN(((SUM(Z131:Z142)-'Retirement Planning'!$I$53-'Retirement Planning'!$I$54))*'Retirement Planning'!$I$48,('Retirement Planning'!$J$48)*'Retirement Planning'!$I$48))+(IF((SUM(Z131:Z142)-'Retirement Planning'!$I$54-'Retirement Planning'!$I$61)&gt;'Retirement Planning'!$J$59,(SUM(Z131:Z142)-'Retirement Planning'!$I$54-'Retirement Planning'!$I$61-'Retirement Planning'!$J$59)*'Retirement Planning'!$I$60+'Retirement Planning'!$K$59,IF((SUM(Z131:Z142)-'Retirement Planning'!$I$54-'Retirement Planning'!$I$61)&gt;'Retirement Planning'!$J$58,(SUM(Z131:Z142)-'Retirement Planning'!$I$54-'Retirement Planning'!$I$61-'Retirement Planning'!$J$58)*'Retirement Planning'!$I$59+'Retirement Planning'!$K$58,IF((SUM(Z131:Z142)-'Retirement Planning'!$I$54-'Retirement Planning'!$I$61)&gt;'Retirement Planning'!$J$57,(SUM(Z131:Z142)-'Retirement Planning'!$I$54-'Retirement Planning'!$I$61-'Retirement Planning'!$J$57)*'Retirement Planning'!$I$58+'Retirement Planning'!$K$57,IF((SUM(Z131:Z142)-'Retirement Planning'!$I$54-'Retirement Planning'!$I$61)&gt;'Retirement Planning'!$J$56,(SUM(Z131:Z142)-'Retirement Planning'!$I$54-'Retirement Planning'!$I$61-'Retirement Planning'!$J$56)*'Retirement Planning'!$I$57+'Retirement Planning'!$K$56,(SUM(Z131:Z142)-'Retirement Planning'!$I$54-'Retirement Planning'!$I$61)*'Retirement Planning'!$I$56))))))/12,AA142)</f>
        <v>1610.8982628063143</v>
      </c>
      <c r="AB143" s="104">
        <f t="shared" ca="1" si="49"/>
        <v>0.20922546178602885</v>
      </c>
      <c r="AC143" s="7">
        <f>IF(B143&lt;65,'Retirement Planning'!$J$28,0)</f>
        <v>0</v>
      </c>
      <c r="AD143" s="7">
        <f>IF(B143&lt;65,'Retirement Planning'!$J$29/12,0)</f>
        <v>0</v>
      </c>
      <c r="AE143" s="22">
        <f>'Retirement Planning'!$J$31/12</f>
        <v>58.333333333333336</v>
      </c>
      <c r="AF143" s="22">
        <f>'Retirement Planning'!$J$32/12</f>
        <v>66.666666666666671</v>
      </c>
      <c r="AG143" s="7">
        <f>IF($B143&gt;64.9,'Retirement Planning'!$J$39/12,0)</f>
        <v>183.33333333333334</v>
      </c>
      <c r="AH143" s="7">
        <f>IF($B143&gt;64.9,'Retirement Planning'!$J$40/12,0)</f>
        <v>258.33333333333331</v>
      </c>
      <c r="AI143" s="7">
        <f>IF($B143&gt;64.9,'Retirement Planning'!$J$41/12,0)</f>
        <v>558.33333333333337</v>
      </c>
      <c r="AJ143" s="7">
        <f t="shared" ca="1" si="59"/>
        <v>316.66666666666663</v>
      </c>
      <c r="AK143" s="3" t="str">
        <f t="shared" ca="1" si="60"/>
        <v>N/A</v>
      </c>
      <c r="AL143" s="6" t="str">
        <f t="shared" ca="1" si="61"/>
        <v>N/A</v>
      </c>
      <c r="AM143" s="7">
        <f t="shared" ca="1" si="62"/>
        <v>1.2505552149377763E-12</v>
      </c>
      <c r="AN143" s="7">
        <f t="shared" ca="1" si="63"/>
        <v>10315.372245969013</v>
      </c>
      <c r="AO143" s="7">
        <f t="shared" si="64"/>
        <v>1125</v>
      </c>
    </row>
    <row r="144" spans="1:41" x14ac:dyDescent="0.2">
      <c r="A144">
        <f t="shared" si="65"/>
        <v>50</v>
      </c>
      <c r="B144" s="5">
        <f t="shared" si="66"/>
        <v>67.5</v>
      </c>
      <c r="C144" s="56">
        <f t="shared" si="67"/>
        <v>50496</v>
      </c>
      <c r="D144" s="57">
        <f ca="1">IF(AND(B143&lt;59.5,OR(B144&gt;59.5,B144=59.5)),(D143-E143+J143-K143)*(1+'Retirement Planning'!$J$23/12),(D143-E143)*(1+'Retirement Planning'!$J$23/12))</f>
        <v>326463.9725135761</v>
      </c>
      <c r="E144" s="58">
        <f t="shared" ca="1" si="54"/>
        <v>975.42219243641921</v>
      </c>
      <c r="F144" s="57">
        <f ca="1">IF(AND(OR(B144&gt;59.5,B144=59.5),B143&lt;59.5),(F143-G143+L143-M143+N143-O143)*(1+'Retirement Planning'!$J$23/12),(F143-G143)*(1+'Retirement Planning'!$J$23/12))</f>
        <v>1238354.1695302355</v>
      </c>
      <c r="G144" s="58">
        <f ca="1">IF(AND($B$10&lt;55,B144&lt;59.5),'Retirement Planning'!$J$25,IF(OR(B144&gt;59.5,B144=59.5),MAX(0,MIN(F144,IF(D144&lt;2500,((Y144+AJ144+AA144))-X144,((Y144+AJ144+AA144)*'Retirement Planning'!$J$44)-X144))),0))</f>
        <v>6487.1015192349014</v>
      </c>
      <c r="H144" s="255">
        <f ca="1">IF(MONTH(C144)=1,IF(B144&gt;69.5,F144/(INDEX('Retirement Planning'!D$1:D$264,(160+INT(B144))))/12,0),IF(F144=0,0,H143))</f>
        <v>0</v>
      </c>
      <c r="I144" s="262">
        <f t="shared" ca="1" si="55"/>
        <v>0</v>
      </c>
      <c r="J144" s="254">
        <f ca="1">IF(AND(B143&lt;59.5,OR(B144=59.5,B144&gt;59.5)),0,(J143-K143)*(1+'Retirement Planning'!$J$23/12))</f>
        <v>0</v>
      </c>
      <c r="K144" s="58">
        <f t="shared" ca="1" si="56"/>
        <v>0</v>
      </c>
      <c r="L144" s="57">
        <f>IF(AND(OR(B144&gt;59.5,B144=59.5),B143&lt;59.5),0,(L143-M143)*(1+'Retirement Planning'!$J$23/12))</f>
        <v>0</v>
      </c>
      <c r="M144" s="59">
        <f>IF(AND($B$10&lt;55,B144&lt;59.5),0,IF(B144&lt;59.5,MAX(0,MIN((($Y144+$AJ144+AA144)*'Retirement Planning'!$J$44)-$G144-$X144,L144)),0))</f>
        <v>0</v>
      </c>
      <c r="N144" s="57">
        <f ca="1">(N143-O143)*(1+'Retirement Planning'!$J$23/12)</f>
        <v>0</v>
      </c>
      <c r="O144" s="59">
        <f ca="1">IF(B144&gt;59.5,MAX(0,MIN((AA144+$Y144+$AJ144)*(IF(D144&lt;(MIN(E132:E143)+1),1,'Retirement Planning'!$J$44))-M144-$G144-$X144-(IF(D144&lt;(MIN(E132:E143)+1),D144,0)),N144)),0)</f>
        <v>0</v>
      </c>
      <c r="P144" s="57">
        <f t="shared" si="68"/>
        <v>0</v>
      </c>
      <c r="Q144" s="58">
        <f t="shared" si="69"/>
        <v>0</v>
      </c>
      <c r="R144" s="57">
        <f ca="1">(R143-S143-T143)*(1+'Retirement Planning'!$J$23/12)</f>
        <v>341663.32411814772</v>
      </c>
      <c r="S144" s="58">
        <f t="shared" ca="1" si="70"/>
        <v>808.33333333333337</v>
      </c>
      <c r="T144" s="273">
        <f t="shared" ca="1" si="57"/>
        <v>6.8212102632969618E-13</v>
      </c>
      <c r="U144" s="57">
        <f ca="1">(U143-V143)*(1+'Retirement Planning'!$J$23/12)</f>
        <v>271696.12598282995</v>
      </c>
      <c r="V144" s="24">
        <f ca="1">IF(AND($B$10&lt;55,B144&lt;59.5),MIN(U144,MAX(0,(Y144+AA144+AJ144-G144)*'Retirement Planning'!$J$45)),IF(B144&lt;59.5,(MIN(U144,MAX(0,((Y144+AA144+AJ144)-G144-M144)*'Retirement Planning'!$J$45))),MIN(U144,MAX(0,(Y144+AA144+AJ144-G144-M144-K144-X144)*'Retirement Planning'!$J$45))))</f>
        <v>830.9152009643575</v>
      </c>
      <c r="W144" s="7">
        <f t="shared" ca="1" si="58"/>
        <v>2178177.5921447892</v>
      </c>
      <c r="X144" s="7">
        <f>(IF(B144&gt;'Retirement Planning'!$J$34,IF('Retirement Planning'!$J$34=70,'Retirement Planning'!$J$37/12,IF('Retirement Planning'!$J$34=67,'Retirement Planning'!$J$36/12,'Retirement Planning'!$J$35/12)),0))*'Retirement Planning'!$J$38</f>
        <v>1213.6000000000001</v>
      </c>
      <c r="Y144" s="7">
        <f ca="1">'Retirement Planning'!$F$35*((1+'Retirement Planning'!$J$24)^(YEAR('Projected Retirement Drawdown'!C144)-YEAR(TODAY())))</f>
        <v>7579.4739831626985</v>
      </c>
      <c r="Z144" s="7">
        <f ca="1">G144+M144+O144+0.85*X144+V144*'Retirement Planning'!$J$46+T144</f>
        <v>7975.6648797652997</v>
      </c>
      <c r="AA144" s="7">
        <f ca="1">IF(MONTH(C144)=1,(((MIN(MAX(0,((SUM(Z132:Z143)-'Retirement Planning'!$I$53-'Retirement Planning'!$I$54)-'Retirement Planning'!$J$51)*'Retirement Planning'!$I$52))))+(MIN(MAX(0,((SUM(Z132:Z143)-'Retirement Planning'!$I$53-'Retirement Planning'!$I$54)-'Retirement Planning'!$J$50)*'Retirement Planning'!$I$51),('Retirement Planning'!$J$51-'Retirement Planning'!$J$50)*'Retirement Planning'!$I$51))+(MIN(MAX(0,((SUM(Z132:Z143)-'Retirement Planning'!$I$53-'Retirement Planning'!$I$54)-'Retirement Planning'!$J$49)*'Retirement Planning'!$I$50),('Retirement Planning'!$J$50-'Retirement Planning'!$J$49)*'Retirement Planning'!$I$50)+MIN(MAX(0,((SUM(Z132:Z143)-'Retirement Planning'!$I$53-'Retirement Planning'!$I$54)-'Retirement Planning'!$J$48)*'Retirement Planning'!$I$49),('Retirement Planning'!$J$49-'Retirement Planning'!$J$48)*'Retirement Planning'!$I$49)+MIN(((SUM(Z132:Z143)-'Retirement Planning'!$I$53-'Retirement Planning'!$I$54))*'Retirement Planning'!$I$48,('Retirement Planning'!$J$48)*'Retirement Planning'!$I$48))+(IF((SUM(Z132:Z143)-'Retirement Planning'!$I$54-'Retirement Planning'!$I$61)&gt;'Retirement Planning'!$J$59,(SUM(Z132:Z143)-'Retirement Planning'!$I$54-'Retirement Planning'!$I$61-'Retirement Planning'!$J$59)*'Retirement Planning'!$I$60+'Retirement Planning'!$K$59,IF((SUM(Z132:Z143)-'Retirement Planning'!$I$54-'Retirement Planning'!$I$61)&gt;'Retirement Planning'!$J$58,(SUM(Z132:Z143)-'Retirement Planning'!$I$54-'Retirement Planning'!$I$61-'Retirement Planning'!$J$58)*'Retirement Planning'!$I$59+'Retirement Planning'!$K$58,IF((SUM(Z132:Z143)-'Retirement Planning'!$I$54-'Retirement Planning'!$I$61)&gt;'Retirement Planning'!$J$57,(SUM(Z132:Z143)-'Retirement Planning'!$I$54-'Retirement Planning'!$I$61-'Retirement Planning'!$J$57)*'Retirement Planning'!$I$58+'Retirement Planning'!$K$57,IF((SUM(Z132:Z143)-'Retirement Planning'!$I$54-'Retirement Planning'!$I$61)&gt;'Retirement Planning'!$J$56,(SUM(Z132:Z143)-'Retirement Planning'!$I$54-'Retirement Planning'!$I$61-'Retirement Planning'!$J$56)*'Retirement Planning'!$I$57+'Retirement Planning'!$K$56,(SUM(Z132:Z143)-'Retirement Planning'!$I$54-'Retirement Planning'!$I$61)*'Retirement Planning'!$I$56))))))/12,AA143)</f>
        <v>1610.8982628063143</v>
      </c>
      <c r="AB144" s="104">
        <f t="shared" ca="1" si="49"/>
        <v>0.20922546178602885</v>
      </c>
      <c r="AC144" s="7">
        <f>IF(B144&lt;65,'Retirement Planning'!$J$28,0)</f>
        <v>0</v>
      </c>
      <c r="AD144" s="7">
        <f>IF(B144&lt;65,'Retirement Planning'!$J$29/12,0)</f>
        <v>0</v>
      </c>
      <c r="AE144" s="22">
        <f>'Retirement Planning'!$J$31/12</f>
        <v>58.333333333333336</v>
      </c>
      <c r="AF144" s="22">
        <f>'Retirement Planning'!$J$32/12</f>
        <v>66.666666666666671</v>
      </c>
      <c r="AG144" s="7">
        <f>IF($B144&gt;64.9,'Retirement Planning'!$J$39/12,0)</f>
        <v>183.33333333333334</v>
      </c>
      <c r="AH144" s="7">
        <f>IF($B144&gt;64.9,'Retirement Planning'!$J$40/12,0)</f>
        <v>258.33333333333331</v>
      </c>
      <c r="AI144" s="7">
        <f>IF($B144&gt;64.9,'Retirement Planning'!$J$41/12,0)</f>
        <v>558.33333333333337</v>
      </c>
      <c r="AJ144" s="7">
        <f t="shared" ca="1" si="59"/>
        <v>316.66666666666663</v>
      </c>
      <c r="AK144" s="3" t="str">
        <f t="shared" ca="1" si="60"/>
        <v>N/A</v>
      </c>
      <c r="AL144" s="6" t="str">
        <f t="shared" ca="1" si="61"/>
        <v>N/A</v>
      </c>
      <c r="AM144" s="7">
        <f t="shared" ca="1" si="62"/>
        <v>1.2505552149377763E-12</v>
      </c>
      <c r="AN144" s="7">
        <f t="shared" ca="1" si="63"/>
        <v>10315.372245969013</v>
      </c>
      <c r="AO144" s="7">
        <f t="shared" si="64"/>
        <v>1125</v>
      </c>
    </row>
    <row r="145" spans="1:41" x14ac:dyDescent="0.2">
      <c r="A145">
        <f t="shared" si="65"/>
        <v>50</v>
      </c>
      <c r="B145" s="5">
        <f t="shared" si="66"/>
        <v>67.5</v>
      </c>
      <c r="C145" s="56">
        <f t="shared" si="67"/>
        <v>50526</v>
      </c>
      <c r="D145" s="57">
        <f ca="1">IF(AND(B144&lt;59.5,OR(B145&gt;59.5,B145=59.5)),(D144-E144+J144-K144)*(1+'Retirement Planning'!$J$23/12),(D144-E144)*(1+'Retirement Planning'!$J$23/12))</f>
        <v>327794.09421924775</v>
      </c>
      <c r="E145" s="58">
        <f t="shared" ca="1" si="54"/>
        <v>975.42219243641921</v>
      </c>
      <c r="F145" s="57">
        <f ca="1">IF(AND(OR(B145&gt;59.5,B145=59.5),B144&lt;59.5),(F144-G144+L144-M144+N144-O144)*(1+'Retirement Planning'!$J$23/12),(F144-G144)*(1+'Retirement Planning'!$J$23/12))</f>
        <v>1240592.7930760784</v>
      </c>
      <c r="G145" s="58">
        <f ca="1">IF(AND($B$10&lt;55,B145&lt;59.5),'Retirement Planning'!$J$25,IF(OR(B145&gt;59.5,B145=59.5),MAX(0,MIN(F145,IF(D145&lt;2500,((Y145+AJ145+AA145))-X145,((Y145+AJ145+AA145)*'Retirement Planning'!$J$44)-X145))),0))</f>
        <v>6487.1015192349014</v>
      </c>
      <c r="H145" s="255">
        <f ca="1">IF(MONTH(C145)=1,IF(B145&gt;69.5,F145/(INDEX('Retirement Planning'!D$1:D$264,(160+INT(B145))))/12,0),IF(F145=0,0,H144))</f>
        <v>0</v>
      </c>
      <c r="I145" s="262">
        <f t="shared" ca="1" si="55"/>
        <v>0</v>
      </c>
      <c r="J145" s="254">
        <f ca="1">IF(AND(B144&lt;59.5,OR(B145=59.5,B145&gt;59.5)),0,(J144-K144)*(1+'Retirement Planning'!$J$23/12))</f>
        <v>0</v>
      </c>
      <c r="K145" s="58">
        <f t="shared" ca="1" si="56"/>
        <v>0</v>
      </c>
      <c r="L145" s="57">
        <f>IF(AND(OR(B145&gt;59.5,B145=59.5),B144&lt;59.5),0,(L144-M144)*(1+'Retirement Planning'!$J$23/12))</f>
        <v>0</v>
      </c>
      <c r="M145" s="59">
        <f>IF(AND($B$10&lt;55,B145&lt;59.5),0,IF(B145&lt;59.5,MAX(0,MIN((($Y145+$AJ145+AA145)*'Retirement Planning'!$J$44)-$G145-$X145,L145)),0))</f>
        <v>0</v>
      </c>
      <c r="N145" s="57">
        <f ca="1">(N144-O144)*(1+'Retirement Planning'!$J$23/12)</f>
        <v>0</v>
      </c>
      <c r="O145" s="59">
        <f ca="1">IF(B145&gt;59.5,MAX(0,MIN((AA145+$Y145+$AJ145)*(IF(D145&lt;(MIN(E133:E144)+1),1,'Retirement Planning'!$J$44))-M145-$G145-$X145-(IF(D145&lt;(MIN(E133:E144)+1),D145,0)),N145)),0)</f>
        <v>0</v>
      </c>
      <c r="P145" s="57">
        <f t="shared" si="68"/>
        <v>0</v>
      </c>
      <c r="Q145" s="58">
        <f t="shared" si="69"/>
        <v>0</v>
      </c>
      <c r="R145" s="57">
        <f ca="1">(R144-S144-T144)*(1+'Retirement Planning'!$J$23/12)</f>
        <v>343269.3803028735</v>
      </c>
      <c r="S145" s="58">
        <f t="shared" ca="1" si="70"/>
        <v>808.33333333333337</v>
      </c>
      <c r="T145" s="273">
        <f t="shared" ca="1" si="57"/>
        <v>6.8212102632969618E-13</v>
      </c>
      <c r="U145" s="57">
        <f ca="1">(U144-V144)*(1+'Retirement Planning'!$J$23/12)</f>
        <v>272783.83935823711</v>
      </c>
      <c r="V145" s="24">
        <f ca="1">IF(AND($B$10&lt;55,B145&lt;59.5),MIN(U145,MAX(0,(Y145+AA145+AJ145-G145)*'Retirement Planning'!$J$45)),IF(B145&lt;59.5,(MIN(U145,MAX(0,((Y145+AA145+AJ145)-G145-M145)*'Retirement Planning'!$J$45))),MIN(U145,MAX(0,(Y145+AA145+AJ145-G145-M145-K145-X145)*'Retirement Planning'!$J$45))))</f>
        <v>830.9152009643575</v>
      </c>
      <c r="W145" s="7">
        <f t="shared" ca="1" si="58"/>
        <v>2184440.1069564368</v>
      </c>
      <c r="X145" s="7">
        <f>(IF(B145&gt;'Retirement Planning'!$J$34,IF('Retirement Planning'!$J$34=70,'Retirement Planning'!$J$37/12,IF('Retirement Planning'!$J$34=67,'Retirement Planning'!$J$36/12,'Retirement Planning'!$J$35/12)),0))*'Retirement Planning'!$J$38</f>
        <v>1213.6000000000001</v>
      </c>
      <c r="Y145" s="7">
        <f ca="1">'Retirement Planning'!$F$35*((1+'Retirement Planning'!$J$24)^(YEAR('Projected Retirement Drawdown'!C145)-YEAR(TODAY())))</f>
        <v>7579.4739831626985</v>
      </c>
      <c r="Z145" s="7">
        <f ca="1">G145+M145+O145+0.85*X145+V145*'Retirement Planning'!$J$46+T145</f>
        <v>7975.6648797652997</v>
      </c>
      <c r="AA145" s="7">
        <f ca="1">IF(MONTH(C145)=1,(((MIN(MAX(0,((SUM(Z133:Z144)-'Retirement Planning'!$I$53-'Retirement Planning'!$I$54)-'Retirement Planning'!$J$51)*'Retirement Planning'!$I$52))))+(MIN(MAX(0,((SUM(Z133:Z144)-'Retirement Planning'!$I$53-'Retirement Planning'!$I$54)-'Retirement Planning'!$J$50)*'Retirement Planning'!$I$51),('Retirement Planning'!$J$51-'Retirement Planning'!$J$50)*'Retirement Planning'!$I$51))+(MIN(MAX(0,((SUM(Z133:Z144)-'Retirement Planning'!$I$53-'Retirement Planning'!$I$54)-'Retirement Planning'!$J$49)*'Retirement Planning'!$I$50),('Retirement Planning'!$J$50-'Retirement Planning'!$J$49)*'Retirement Planning'!$I$50)+MIN(MAX(0,((SUM(Z133:Z144)-'Retirement Planning'!$I$53-'Retirement Planning'!$I$54)-'Retirement Planning'!$J$48)*'Retirement Planning'!$I$49),('Retirement Planning'!$J$49-'Retirement Planning'!$J$48)*'Retirement Planning'!$I$49)+MIN(((SUM(Z133:Z144)-'Retirement Planning'!$I$53-'Retirement Planning'!$I$54))*'Retirement Planning'!$I$48,('Retirement Planning'!$J$48)*'Retirement Planning'!$I$48))+(IF((SUM(Z133:Z144)-'Retirement Planning'!$I$54-'Retirement Planning'!$I$61)&gt;'Retirement Planning'!$J$59,(SUM(Z133:Z144)-'Retirement Planning'!$I$54-'Retirement Planning'!$I$61-'Retirement Planning'!$J$59)*'Retirement Planning'!$I$60+'Retirement Planning'!$K$59,IF((SUM(Z133:Z144)-'Retirement Planning'!$I$54-'Retirement Planning'!$I$61)&gt;'Retirement Planning'!$J$58,(SUM(Z133:Z144)-'Retirement Planning'!$I$54-'Retirement Planning'!$I$61-'Retirement Planning'!$J$58)*'Retirement Planning'!$I$59+'Retirement Planning'!$K$58,IF((SUM(Z133:Z144)-'Retirement Planning'!$I$54-'Retirement Planning'!$I$61)&gt;'Retirement Planning'!$J$57,(SUM(Z133:Z144)-'Retirement Planning'!$I$54-'Retirement Planning'!$I$61-'Retirement Planning'!$J$57)*'Retirement Planning'!$I$58+'Retirement Planning'!$K$57,IF((SUM(Z133:Z144)-'Retirement Planning'!$I$54-'Retirement Planning'!$I$61)&gt;'Retirement Planning'!$J$56,(SUM(Z133:Z144)-'Retirement Planning'!$I$54-'Retirement Planning'!$I$61-'Retirement Planning'!$J$56)*'Retirement Planning'!$I$57+'Retirement Planning'!$K$56,(SUM(Z133:Z144)-'Retirement Planning'!$I$54-'Retirement Planning'!$I$61)*'Retirement Planning'!$I$56))))))/12,AA144)</f>
        <v>1610.8982628063143</v>
      </c>
      <c r="AB145" s="104">
        <f t="shared" ca="1" si="49"/>
        <v>0.20922546178602885</v>
      </c>
      <c r="AC145" s="7">
        <f>IF(B145&lt;65,'Retirement Planning'!$J$28,0)</f>
        <v>0</v>
      </c>
      <c r="AD145" s="7">
        <f>IF(B145&lt;65,'Retirement Planning'!$J$29/12,0)</f>
        <v>0</v>
      </c>
      <c r="AE145" s="22">
        <f>'Retirement Planning'!$J$31/12</f>
        <v>58.333333333333336</v>
      </c>
      <c r="AF145" s="22">
        <f>'Retirement Planning'!$J$32/12</f>
        <v>66.666666666666671</v>
      </c>
      <c r="AG145" s="7">
        <f>IF($B145&gt;64.9,'Retirement Planning'!$J$39/12,0)</f>
        <v>183.33333333333334</v>
      </c>
      <c r="AH145" s="7">
        <f>IF($B145&gt;64.9,'Retirement Planning'!$J$40/12,0)</f>
        <v>258.33333333333331</v>
      </c>
      <c r="AI145" s="7">
        <f>IF($B145&gt;64.9,'Retirement Planning'!$J$41/12,0)</f>
        <v>558.33333333333337</v>
      </c>
      <c r="AJ145" s="7">
        <f t="shared" ca="1" si="59"/>
        <v>316.66666666666663</v>
      </c>
      <c r="AK145" s="3" t="str">
        <f t="shared" ca="1" si="60"/>
        <v>N/A</v>
      </c>
      <c r="AL145" s="6" t="str">
        <f t="shared" ca="1" si="61"/>
        <v>N/A</v>
      </c>
      <c r="AM145" s="7">
        <f t="shared" ca="1" si="62"/>
        <v>1.2505552149377763E-12</v>
      </c>
      <c r="AN145" s="7">
        <f t="shared" ca="1" si="63"/>
        <v>10315.372245969013</v>
      </c>
      <c r="AO145" s="7">
        <f t="shared" si="64"/>
        <v>1125</v>
      </c>
    </row>
    <row r="146" spans="1:41" x14ac:dyDescent="0.2">
      <c r="A146">
        <f t="shared" si="65"/>
        <v>50</v>
      </c>
      <c r="B146" s="5">
        <f t="shared" si="66"/>
        <v>67.599999999999994</v>
      </c>
      <c r="C146" s="56">
        <f t="shared" si="67"/>
        <v>50557</v>
      </c>
      <c r="D146" s="57">
        <f ca="1">IF(AND(B145&lt;59.5,OR(B146&gt;59.5,B146=59.5)),(D145-E145+J145-K145)*(1+'Retirement Planning'!$J$23/12),(D145-E145)*(1+'Retirement Planning'!$J$23/12))</f>
        <v>329133.63762033457</v>
      </c>
      <c r="E146" s="58">
        <f t="shared" ca="1" si="54"/>
        <v>975.42219243641921</v>
      </c>
      <c r="F146" s="57">
        <f ca="1">IF(AND(OR(B146&gt;59.5,B146=59.5),B145&lt;59.5),(F145-G145+L145-M145+N145-O145)*(1+'Retirement Planning'!$J$23/12),(F145-G145)*(1+'Retirement Planning'!$J$23/12))</f>
        <v>1242847.2735387045</v>
      </c>
      <c r="G146" s="58">
        <f ca="1">IF(AND($B$10&lt;55,B146&lt;59.5),'Retirement Planning'!$J$25,IF(OR(B146&gt;59.5,B146=59.5),MAX(0,MIN(F146,IF(D146&lt;2500,((Y146+AJ146+AA146))-X146,((Y146+AJ146+AA146)*'Retirement Planning'!$J$44)-X146))),0))</f>
        <v>6487.1015192349014</v>
      </c>
      <c r="H146" s="255">
        <f ca="1">IF(MONTH(C146)=1,IF(B146&gt;69.5,F146/(INDEX('Retirement Planning'!D$1:D$264,(160+INT(B146))))/12,0),IF(F146=0,0,H145))</f>
        <v>0</v>
      </c>
      <c r="I146" s="262">
        <f t="shared" ca="1" si="55"/>
        <v>0</v>
      </c>
      <c r="J146" s="254">
        <f ca="1">IF(AND(B145&lt;59.5,OR(B146=59.5,B146&gt;59.5)),0,(J145-K145)*(1+'Retirement Planning'!$J$23/12))</f>
        <v>0</v>
      </c>
      <c r="K146" s="58">
        <f t="shared" ca="1" si="56"/>
        <v>0</v>
      </c>
      <c r="L146" s="57">
        <f>IF(AND(OR(B146&gt;59.5,B146=59.5),B145&lt;59.5),0,(L145-M145)*(1+'Retirement Planning'!$J$23/12))</f>
        <v>0</v>
      </c>
      <c r="M146" s="59">
        <f>IF(AND($B$10&lt;55,B146&lt;59.5),0,IF(B146&lt;59.5,MAX(0,MIN((($Y146+$AJ146+AA146)*'Retirement Planning'!$J$44)-$G146-$X146,L146)),0))</f>
        <v>0</v>
      </c>
      <c r="N146" s="57">
        <f ca="1">(N145-O145)*(1+'Retirement Planning'!$J$23/12)</f>
        <v>0</v>
      </c>
      <c r="O146" s="59">
        <f ca="1">IF(B146&gt;59.5,MAX(0,MIN((AA146+$Y146+$AJ146)*(IF(D146&lt;(MIN(E134:E145)+1),1,'Retirement Planning'!$J$44))-M146-$G146-$X146-(IF(D146&lt;(MIN(E134:E145)+1),D146,0)),N146)),0)</f>
        <v>0</v>
      </c>
      <c r="P146" s="57">
        <f t="shared" si="68"/>
        <v>0</v>
      </c>
      <c r="Q146" s="58">
        <f t="shared" si="69"/>
        <v>0</v>
      </c>
      <c r="R146" s="57">
        <f ca="1">(R145-S145-T145)*(1+'Retirement Planning'!$J$23/12)</f>
        <v>344886.81271890778</v>
      </c>
      <c r="S146" s="58">
        <f t="shared" ca="1" si="70"/>
        <v>808.33333333333337</v>
      </c>
      <c r="T146" s="273">
        <f t="shared" ca="1" si="57"/>
        <v>6.8212102632969618E-13</v>
      </c>
      <c r="U146" s="57">
        <f ca="1">(U145-V145)*(1+'Retirement Planning'!$J$23/12)</f>
        <v>273879.25737005344</v>
      </c>
      <c r="V146" s="24">
        <f ca="1">IF(AND($B$10&lt;55,B146&lt;59.5),MIN(U146,MAX(0,(Y146+AA146+AJ146-G146)*'Retirement Planning'!$J$45)),IF(B146&lt;59.5,(MIN(U146,MAX(0,((Y146+AA146+AJ146)-G146-M146)*'Retirement Planning'!$J$45))),MIN(U146,MAX(0,(Y146+AA146+AJ146-G146-M146-K146-X146)*'Retirement Planning'!$J$45))))</f>
        <v>830.9152009643575</v>
      </c>
      <c r="W146" s="7">
        <f t="shared" ca="1" si="58"/>
        <v>2190746.9812480002</v>
      </c>
      <c r="X146" s="7">
        <f>(IF(B146&gt;'Retirement Planning'!$J$34,IF('Retirement Planning'!$J$34=70,'Retirement Planning'!$J$37/12,IF('Retirement Planning'!$J$34=67,'Retirement Planning'!$J$36/12,'Retirement Planning'!$J$35/12)),0))*'Retirement Planning'!$J$38</f>
        <v>1213.6000000000001</v>
      </c>
      <c r="Y146" s="7">
        <f ca="1">'Retirement Planning'!$F$35*((1+'Retirement Planning'!$J$24)^(YEAR('Projected Retirement Drawdown'!C146)-YEAR(TODAY())))</f>
        <v>7579.4739831626985</v>
      </c>
      <c r="Z146" s="7">
        <f ca="1">G146+M146+O146+0.85*X146+V146*'Retirement Planning'!$J$46+T146</f>
        <v>7975.6648797652997</v>
      </c>
      <c r="AA146" s="7">
        <f ca="1">IF(MONTH(C146)=1,(((MIN(MAX(0,((SUM(Z134:Z145)-'Retirement Planning'!$I$53-'Retirement Planning'!$I$54)-'Retirement Planning'!$J$51)*'Retirement Planning'!$I$52))))+(MIN(MAX(0,((SUM(Z134:Z145)-'Retirement Planning'!$I$53-'Retirement Planning'!$I$54)-'Retirement Planning'!$J$50)*'Retirement Planning'!$I$51),('Retirement Planning'!$J$51-'Retirement Planning'!$J$50)*'Retirement Planning'!$I$51))+(MIN(MAX(0,((SUM(Z134:Z145)-'Retirement Planning'!$I$53-'Retirement Planning'!$I$54)-'Retirement Planning'!$J$49)*'Retirement Planning'!$I$50),('Retirement Planning'!$J$50-'Retirement Planning'!$J$49)*'Retirement Planning'!$I$50)+MIN(MAX(0,((SUM(Z134:Z145)-'Retirement Planning'!$I$53-'Retirement Planning'!$I$54)-'Retirement Planning'!$J$48)*'Retirement Planning'!$I$49),('Retirement Planning'!$J$49-'Retirement Planning'!$J$48)*'Retirement Planning'!$I$49)+MIN(((SUM(Z134:Z145)-'Retirement Planning'!$I$53-'Retirement Planning'!$I$54))*'Retirement Planning'!$I$48,('Retirement Planning'!$J$48)*'Retirement Planning'!$I$48))+(IF((SUM(Z134:Z145)-'Retirement Planning'!$I$54-'Retirement Planning'!$I$61)&gt;'Retirement Planning'!$J$59,(SUM(Z134:Z145)-'Retirement Planning'!$I$54-'Retirement Planning'!$I$61-'Retirement Planning'!$J$59)*'Retirement Planning'!$I$60+'Retirement Planning'!$K$59,IF((SUM(Z134:Z145)-'Retirement Planning'!$I$54-'Retirement Planning'!$I$61)&gt;'Retirement Planning'!$J$58,(SUM(Z134:Z145)-'Retirement Planning'!$I$54-'Retirement Planning'!$I$61-'Retirement Planning'!$J$58)*'Retirement Planning'!$I$59+'Retirement Planning'!$K$58,IF((SUM(Z134:Z145)-'Retirement Planning'!$I$54-'Retirement Planning'!$I$61)&gt;'Retirement Planning'!$J$57,(SUM(Z134:Z145)-'Retirement Planning'!$I$54-'Retirement Planning'!$I$61-'Retirement Planning'!$J$57)*'Retirement Planning'!$I$58+'Retirement Planning'!$K$57,IF((SUM(Z134:Z145)-'Retirement Planning'!$I$54-'Retirement Planning'!$I$61)&gt;'Retirement Planning'!$J$56,(SUM(Z134:Z145)-'Retirement Planning'!$I$54-'Retirement Planning'!$I$61-'Retirement Planning'!$J$56)*'Retirement Planning'!$I$57+'Retirement Planning'!$K$56,(SUM(Z134:Z145)-'Retirement Planning'!$I$54-'Retirement Planning'!$I$61)*'Retirement Planning'!$I$56))))))/12,AA145)</f>
        <v>1610.8982628063143</v>
      </c>
      <c r="AB146" s="104">
        <f t="shared" ca="1" si="49"/>
        <v>0.20922546178602885</v>
      </c>
      <c r="AC146" s="7">
        <f>IF(B146&lt;65,'Retirement Planning'!$J$28,0)</f>
        <v>0</v>
      </c>
      <c r="AD146" s="7">
        <f>IF(B146&lt;65,'Retirement Planning'!$J$29/12,0)</f>
        <v>0</v>
      </c>
      <c r="AE146" s="22">
        <f>'Retirement Planning'!$J$31/12</f>
        <v>58.333333333333336</v>
      </c>
      <c r="AF146" s="22">
        <f>'Retirement Planning'!$J$32/12</f>
        <v>66.666666666666671</v>
      </c>
      <c r="AG146" s="7">
        <f>IF($B146&gt;64.9,'Retirement Planning'!$J$39/12,0)</f>
        <v>183.33333333333334</v>
      </c>
      <c r="AH146" s="7">
        <f>IF($B146&gt;64.9,'Retirement Planning'!$J$40/12,0)</f>
        <v>258.33333333333331</v>
      </c>
      <c r="AI146" s="7">
        <f>IF($B146&gt;64.9,'Retirement Planning'!$J$41/12,0)</f>
        <v>558.33333333333337</v>
      </c>
      <c r="AJ146" s="7">
        <f t="shared" ca="1" si="59"/>
        <v>316.66666666666663</v>
      </c>
      <c r="AK146" s="3" t="str">
        <f t="shared" ca="1" si="60"/>
        <v>N/A</v>
      </c>
      <c r="AL146" s="6" t="str">
        <f t="shared" ca="1" si="61"/>
        <v>N/A</v>
      </c>
      <c r="AM146" s="7">
        <f t="shared" ca="1" si="62"/>
        <v>1.2505552149377763E-12</v>
      </c>
      <c r="AN146" s="7">
        <f t="shared" ca="1" si="63"/>
        <v>10315.372245969013</v>
      </c>
      <c r="AO146" s="7">
        <f t="shared" si="64"/>
        <v>1125</v>
      </c>
    </row>
    <row r="147" spans="1:41" x14ac:dyDescent="0.2">
      <c r="A147">
        <f t="shared" si="65"/>
        <v>50</v>
      </c>
      <c r="B147" s="5">
        <f t="shared" si="66"/>
        <v>67.7</v>
      </c>
      <c r="C147" s="56">
        <f t="shared" si="67"/>
        <v>50587</v>
      </c>
      <c r="D147" s="57">
        <f ca="1">IF(AND(B146&lt;59.5,OR(B147&gt;59.5,B147=59.5)),(D146-E146+J146-K146)*(1+'Retirement Planning'!$J$23/12),(D146-E146)*(1+'Retirement Planning'!$J$23/12))</f>
        <v>330482.66945384577</v>
      </c>
      <c r="E147" s="58">
        <f t="shared" ca="1" si="54"/>
        <v>975.42219243641921</v>
      </c>
      <c r="F147" s="57">
        <f ca="1">IF(AND(OR(B147&gt;59.5,B147=59.5),B146&lt;59.5),(F146-G146+L146-M146+N146-O146)*(1+'Retirement Planning'!$J$23/12),(F146-G146)*(1+'Retirement Planning'!$J$23/12))</f>
        <v>1245117.7232379408</v>
      </c>
      <c r="G147" s="58">
        <f ca="1">IF(AND($B$10&lt;55,B147&lt;59.5),'Retirement Planning'!$J$25,IF(OR(B147&gt;59.5,B147=59.5),MAX(0,MIN(F147,IF(D147&lt;2500,((Y147+AJ147+AA147))-X147,((Y147+AJ147+AA147)*'Retirement Planning'!$J$44)-X147))),0))</f>
        <v>6487.1015192349014</v>
      </c>
      <c r="H147" s="255">
        <f ca="1">IF(MONTH(C147)=1,IF(B147&gt;69.5,F147/(INDEX('Retirement Planning'!D$1:D$264,(160+INT(B147))))/12,0),IF(F147=0,0,H146))</f>
        <v>0</v>
      </c>
      <c r="I147" s="262">
        <f t="shared" ca="1" si="55"/>
        <v>0</v>
      </c>
      <c r="J147" s="254">
        <f ca="1">IF(AND(B146&lt;59.5,OR(B147=59.5,B147&gt;59.5)),0,(J146-K146)*(1+'Retirement Planning'!$J$23/12))</f>
        <v>0</v>
      </c>
      <c r="K147" s="58">
        <f t="shared" ca="1" si="56"/>
        <v>0</v>
      </c>
      <c r="L147" s="57">
        <f>IF(AND(OR(B147&gt;59.5,B147=59.5),B146&lt;59.5),0,(L146-M146)*(1+'Retirement Planning'!$J$23/12))</f>
        <v>0</v>
      </c>
      <c r="M147" s="59">
        <f>IF(AND($B$10&lt;55,B147&lt;59.5),0,IF(B147&lt;59.5,MAX(0,MIN((($Y147+$AJ147+AA147)*'Retirement Planning'!$J$44)-$G147-$X147,L147)),0))</f>
        <v>0</v>
      </c>
      <c r="N147" s="57">
        <f ca="1">(N146-O146)*(1+'Retirement Planning'!$J$23/12)</f>
        <v>0</v>
      </c>
      <c r="O147" s="59">
        <f ca="1">IF(B147&gt;59.5,MAX(0,MIN((AA147+$Y147+$AJ147)*(IF(D147&lt;(MIN(E135:E146)+1),1,'Retirement Planning'!$J$44))-M147-$G147-$X147-(IF(D147&lt;(MIN(E135:E146)+1),D147,0)),N147)),0)</f>
        <v>0</v>
      </c>
      <c r="P147" s="57">
        <f t="shared" si="68"/>
        <v>0</v>
      </c>
      <c r="Q147" s="58">
        <f t="shared" si="69"/>
        <v>0</v>
      </c>
      <c r="R147" s="57">
        <f ca="1">(R146-S146-T146)*(1+'Retirement Planning'!$J$23/12)</f>
        <v>346515.70194788894</v>
      </c>
      <c r="S147" s="58">
        <f t="shared" ca="1" si="70"/>
        <v>808.33333333333337</v>
      </c>
      <c r="T147" s="273">
        <f t="shared" ca="1" si="57"/>
        <v>6.8212102632969618E-13</v>
      </c>
      <c r="U147" s="57">
        <f ca="1">(U146-V146)*(1+'Retirement Planning'!$J$23/12)</f>
        <v>274982.43459278677</v>
      </c>
      <c r="V147" s="24">
        <f ca="1">IF(AND($B$10&lt;55,B147&lt;59.5),MIN(U147,MAX(0,(Y147+AA147+AJ147-G147)*'Retirement Planning'!$J$45)),IF(B147&lt;59.5,(MIN(U147,MAX(0,((Y147+AA147+AJ147)-G147-M147)*'Retirement Planning'!$J$45))),MIN(U147,MAX(0,(Y147+AA147+AJ147-G147-M147-K147-X147)*'Retirement Planning'!$J$45))))</f>
        <v>830.9152009643575</v>
      </c>
      <c r="W147" s="7">
        <f t="shared" ca="1" si="58"/>
        <v>2197098.5292324624</v>
      </c>
      <c r="X147" s="7">
        <f>(IF(B147&gt;'Retirement Planning'!$J$34,IF('Retirement Planning'!$J$34=70,'Retirement Planning'!$J$37/12,IF('Retirement Planning'!$J$34=67,'Retirement Planning'!$J$36/12,'Retirement Planning'!$J$35/12)),0))*'Retirement Planning'!$J$38</f>
        <v>1213.6000000000001</v>
      </c>
      <c r="Y147" s="7">
        <f ca="1">'Retirement Planning'!$F$35*((1+'Retirement Planning'!$J$24)^(YEAR('Projected Retirement Drawdown'!C147)-YEAR(TODAY())))</f>
        <v>7579.4739831626985</v>
      </c>
      <c r="Z147" s="7">
        <f ca="1">G147+M147+O147+0.85*X147+V147*'Retirement Planning'!$J$46+T147</f>
        <v>7975.6648797652997</v>
      </c>
      <c r="AA147" s="7">
        <f ca="1">IF(MONTH(C147)=1,(((MIN(MAX(0,((SUM(Z135:Z146)-'Retirement Planning'!$I$53-'Retirement Planning'!$I$54)-'Retirement Planning'!$J$51)*'Retirement Planning'!$I$52))))+(MIN(MAX(0,((SUM(Z135:Z146)-'Retirement Planning'!$I$53-'Retirement Planning'!$I$54)-'Retirement Planning'!$J$50)*'Retirement Planning'!$I$51),('Retirement Planning'!$J$51-'Retirement Planning'!$J$50)*'Retirement Planning'!$I$51))+(MIN(MAX(0,((SUM(Z135:Z146)-'Retirement Planning'!$I$53-'Retirement Planning'!$I$54)-'Retirement Planning'!$J$49)*'Retirement Planning'!$I$50),('Retirement Planning'!$J$50-'Retirement Planning'!$J$49)*'Retirement Planning'!$I$50)+MIN(MAX(0,((SUM(Z135:Z146)-'Retirement Planning'!$I$53-'Retirement Planning'!$I$54)-'Retirement Planning'!$J$48)*'Retirement Planning'!$I$49),('Retirement Planning'!$J$49-'Retirement Planning'!$J$48)*'Retirement Planning'!$I$49)+MIN(((SUM(Z135:Z146)-'Retirement Planning'!$I$53-'Retirement Planning'!$I$54))*'Retirement Planning'!$I$48,('Retirement Planning'!$J$48)*'Retirement Planning'!$I$48))+(IF((SUM(Z135:Z146)-'Retirement Planning'!$I$54-'Retirement Planning'!$I$61)&gt;'Retirement Planning'!$J$59,(SUM(Z135:Z146)-'Retirement Planning'!$I$54-'Retirement Planning'!$I$61-'Retirement Planning'!$J$59)*'Retirement Planning'!$I$60+'Retirement Planning'!$K$59,IF((SUM(Z135:Z146)-'Retirement Planning'!$I$54-'Retirement Planning'!$I$61)&gt;'Retirement Planning'!$J$58,(SUM(Z135:Z146)-'Retirement Planning'!$I$54-'Retirement Planning'!$I$61-'Retirement Planning'!$J$58)*'Retirement Planning'!$I$59+'Retirement Planning'!$K$58,IF((SUM(Z135:Z146)-'Retirement Planning'!$I$54-'Retirement Planning'!$I$61)&gt;'Retirement Planning'!$J$57,(SUM(Z135:Z146)-'Retirement Planning'!$I$54-'Retirement Planning'!$I$61-'Retirement Planning'!$J$57)*'Retirement Planning'!$I$58+'Retirement Planning'!$K$57,IF((SUM(Z135:Z146)-'Retirement Planning'!$I$54-'Retirement Planning'!$I$61)&gt;'Retirement Planning'!$J$56,(SUM(Z135:Z146)-'Retirement Planning'!$I$54-'Retirement Planning'!$I$61-'Retirement Planning'!$J$56)*'Retirement Planning'!$I$57+'Retirement Planning'!$K$56,(SUM(Z135:Z146)-'Retirement Planning'!$I$54-'Retirement Planning'!$I$61)*'Retirement Planning'!$I$56))))))/12,AA146)</f>
        <v>1610.8982628063143</v>
      </c>
      <c r="AB147" s="104">
        <f t="shared" ca="1" si="49"/>
        <v>0.20922546178602885</v>
      </c>
      <c r="AC147" s="7">
        <f>IF(B147&lt;65,'Retirement Planning'!$J$28,0)</f>
        <v>0</v>
      </c>
      <c r="AD147" s="7">
        <f>IF(B147&lt;65,'Retirement Planning'!$J$29/12,0)</f>
        <v>0</v>
      </c>
      <c r="AE147" s="22">
        <f>'Retirement Planning'!$J$31/12</f>
        <v>58.333333333333336</v>
      </c>
      <c r="AF147" s="22">
        <f>'Retirement Planning'!$J$32/12</f>
        <v>66.666666666666671</v>
      </c>
      <c r="AG147" s="7">
        <f>IF($B147&gt;64.9,'Retirement Planning'!$J$39/12,0)</f>
        <v>183.33333333333334</v>
      </c>
      <c r="AH147" s="7">
        <f>IF($B147&gt;64.9,'Retirement Planning'!$J$40/12,0)</f>
        <v>258.33333333333331</v>
      </c>
      <c r="AI147" s="7">
        <f>IF($B147&gt;64.9,'Retirement Planning'!$J$41/12,0)</f>
        <v>558.33333333333337</v>
      </c>
      <c r="AJ147" s="7">
        <f t="shared" ca="1" si="59"/>
        <v>316.66666666666663</v>
      </c>
      <c r="AK147" s="3" t="str">
        <f t="shared" ca="1" si="60"/>
        <v>N/A</v>
      </c>
      <c r="AL147" s="6" t="str">
        <f t="shared" ca="1" si="61"/>
        <v>N/A</v>
      </c>
      <c r="AM147" s="7">
        <f t="shared" ca="1" si="62"/>
        <v>1.2505552149377763E-12</v>
      </c>
      <c r="AN147" s="7">
        <f t="shared" ca="1" si="63"/>
        <v>10315.372245969013</v>
      </c>
      <c r="AO147" s="7">
        <f t="shared" si="64"/>
        <v>1125</v>
      </c>
    </row>
    <row r="148" spans="1:41" x14ac:dyDescent="0.2">
      <c r="A148">
        <f t="shared" si="65"/>
        <v>50</v>
      </c>
      <c r="B148" s="5">
        <f t="shared" si="66"/>
        <v>67.8</v>
      </c>
      <c r="C148" s="56">
        <f t="shared" si="67"/>
        <v>50618</v>
      </c>
      <c r="D148" s="57">
        <f ca="1">IF(AND(B147&lt;59.5,OR(B148&gt;59.5,B148=59.5)),(D147-E147+J147-K147)*(1+'Retirement Planning'!$J$23/12),(D147-E147)*(1+'Retirement Planning'!$J$23/12))</f>
        <v>331841.25692951103</v>
      </c>
      <c r="E148" s="58">
        <f t="shared" ca="1" si="54"/>
        <v>975.42219243641921</v>
      </c>
      <c r="F148" s="57">
        <f ca="1">IF(AND(OR(B148&gt;59.5,B148=59.5),B147&lt;59.5),(F147-G147+L147-M147+N147-O147)*(1+'Retirement Planning'!$J$23/12),(F147-G147)*(1+'Retirement Planning'!$J$23/12))</f>
        <v>1247404.2552892133</v>
      </c>
      <c r="G148" s="58">
        <f ca="1">IF(AND($B$10&lt;55,B148&lt;59.5),'Retirement Planning'!$J$25,IF(OR(B148&gt;59.5,B148=59.5),MAX(0,MIN(F148,IF(D148&lt;2500,((Y148+AJ148+AA148))-X148,((Y148+AJ148+AA148)*'Retirement Planning'!$J$44)-X148))),0))</f>
        <v>6487.1015192349014</v>
      </c>
      <c r="H148" s="255">
        <f ca="1">IF(MONTH(C148)=1,IF(B148&gt;69.5,F148/(INDEX('Retirement Planning'!D$1:D$264,(160+INT(B148))))/12,0),IF(F148=0,0,H147))</f>
        <v>0</v>
      </c>
      <c r="I148" s="262">
        <f t="shared" ca="1" si="55"/>
        <v>0</v>
      </c>
      <c r="J148" s="254">
        <f ca="1">IF(AND(B147&lt;59.5,OR(B148=59.5,B148&gt;59.5)),0,(J147-K147)*(1+'Retirement Planning'!$J$23/12))</f>
        <v>0</v>
      </c>
      <c r="K148" s="58">
        <f t="shared" ca="1" si="56"/>
        <v>0</v>
      </c>
      <c r="L148" s="57">
        <f>IF(AND(OR(B148&gt;59.5,B148=59.5),B147&lt;59.5),0,(L147-M147)*(1+'Retirement Planning'!$J$23/12))</f>
        <v>0</v>
      </c>
      <c r="M148" s="59">
        <f>IF(AND($B$10&lt;55,B148&lt;59.5),0,IF(B148&lt;59.5,MAX(0,MIN((($Y148+$AJ148+AA148)*'Retirement Planning'!$J$44)-$G148-$X148,L148)),0))</f>
        <v>0</v>
      </c>
      <c r="N148" s="57">
        <f ca="1">(N147-O147)*(1+'Retirement Planning'!$J$23/12)</f>
        <v>0</v>
      </c>
      <c r="O148" s="59">
        <f ca="1">IF(B148&gt;59.5,MAX(0,MIN((AA148+$Y148+$AJ148)*(IF(D148&lt;(MIN(E136:E147)+1),1,'Retirement Planning'!$J$44))-M148-$G148-$X148-(IF(D148&lt;(MIN(E136:E147)+1),D148,0)),N148)),0)</f>
        <v>0</v>
      </c>
      <c r="P148" s="57">
        <f t="shared" si="68"/>
        <v>0</v>
      </c>
      <c r="Q148" s="58">
        <f t="shared" si="69"/>
        <v>0</v>
      </c>
      <c r="R148" s="57">
        <f ca="1">(R147-S147-T147)*(1+'Retirement Planning'!$J$23/12)</f>
        <v>348156.12914224208</v>
      </c>
      <c r="S148" s="58">
        <f t="shared" ca="1" si="70"/>
        <v>808.33333333333337</v>
      </c>
      <c r="T148" s="273">
        <f t="shared" ca="1" si="57"/>
        <v>6.8212102632969618E-13</v>
      </c>
      <c r="U148" s="57">
        <f ca="1">(U147-V147)*(1+'Retirement Planning'!$J$23/12)</f>
        <v>276093.42598751449</v>
      </c>
      <c r="V148" s="24">
        <f ca="1">IF(AND($B$10&lt;55,B148&lt;59.5),MIN(U148,MAX(0,(Y148+AA148+AJ148-G148)*'Retirement Planning'!$J$45)),IF(B148&lt;59.5,(MIN(U148,MAX(0,((Y148+AA148+AJ148)-G148-M148)*'Retirement Planning'!$J$45))),MIN(U148,MAX(0,(Y148+AA148+AJ148-G148-M148-K148-X148)*'Retirement Planning'!$J$45))))</f>
        <v>830.9152009643575</v>
      </c>
      <c r="W148" s="7">
        <f t="shared" ca="1" si="58"/>
        <v>2203495.0673484807</v>
      </c>
      <c r="X148" s="7">
        <f>(IF(B148&gt;'Retirement Planning'!$J$34,IF('Retirement Planning'!$J$34=70,'Retirement Planning'!$J$37/12,IF('Retirement Planning'!$J$34=67,'Retirement Planning'!$J$36/12,'Retirement Planning'!$J$35/12)),0))*'Retirement Planning'!$J$38</f>
        <v>1213.6000000000001</v>
      </c>
      <c r="Y148" s="7">
        <f ca="1">'Retirement Planning'!$F$35*((1+'Retirement Planning'!$J$24)^(YEAR('Projected Retirement Drawdown'!C148)-YEAR(TODAY())))</f>
        <v>7579.4739831626985</v>
      </c>
      <c r="Z148" s="7">
        <f ca="1">G148+M148+O148+0.85*X148+V148*'Retirement Planning'!$J$46+T148</f>
        <v>7975.6648797652997</v>
      </c>
      <c r="AA148" s="7">
        <f ca="1">IF(MONTH(C148)=1,(((MIN(MAX(0,((SUM(Z136:Z147)-'Retirement Planning'!$I$53-'Retirement Planning'!$I$54)-'Retirement Planning'!$J$51)*'Retirement Planning'!$I$52))))+(MIN(MAX(0,((SUM(Z136:Z147)-'Retirement Planning'!$I$53-'Retirement Planning'!$I$54)-'Retirement Planning'!$J$50)*'Retirement Planning'!$I$51),('Retirement Planning'!$J$51-'Retirement Planning'!$J$50)*'Retirement Planning'!$I$51))+(MIN(MAX(0,((SUM(Z136:Z147)-'Retirement Planning'!$I$53-'Retirement Planning'!$I$54)-'Retirement Planning'!$J$49)*'Retirement Planning'!$I$50),('Retirement Planning'!$J$50-'Retirement Planning'!$J$49)*'Retirement Planning'!$I$50)+MIN(MAX(0,((SUM(Z136:Z147)-'Retirement Planning'!$I$53-'Retirement Planning'!$I$54)-'Retirement Planning'!$J$48)*'Retirement Planning'!$I$49),('Retirement Planning'!$J$49-'Retirement Planning'!$J$48)*'Retirement Planning'!$I$49)+MIN(((SUM(Z136:Z147)-'Retirement Planning'!$I$53-'Retirement Planning'!$I$54))*'Retirement Planning'!$I$48,('Retirement Planning'!$J$48)*'Retirement Planning'!$I$48))+(IF((SUM(Z136:Z147)-'Retirement Planning'!$I$54-'Retirement Planning'!$I$61)&gt;'Retirement Planning'!$J$59,(SUM(Z136:Z147)-'Retirement Planning'!$I$54-'Retirement Planning'!$I$61-'Retirement Planning'!$J$59)*'Retirement Planning'!$I$60+'Retirement Planning'!$K$59,IF((SUM(Z136:Z147)-'Retirement Planning'!$I$54-'Retirement Planning'!$I$61)&gt;'Retirement Planning'!$J$58,(SUM(Z136:Z147)-'Retirement Planning'!$I$54-'Retirement Planning'!$I$61-'Retirement Planning'!$J$58)*'Retirement Planning'!$I$59+'Retirement Planning'!$K$58,IF((SUM(Z136:Z147)-'Retirement Planning'!$I$54-'Retirement Planning'!$I$61)&gt;'Retirement Planning'!$J$57,(SUM(Z136:Z147)-'Retirement Planning'!$I$54-'Retirement Planning'!$I$61-'Retirement Planning'!$J$57)*'Retirement Planning'!$I$58+'Retirement Planning'!$K$57,IF((SUM(Z136:Z147)-'Retirement Planning'!$I$54-'Retirement Planning'!$I$61)&gt;'Retirement Planning'!$J$56,(SUM(Z136:Z147)-'Retirement Planning'!$I$54-'Retirement Planning'!$I$61-'Retirement Planning'!$J$56)*'Retirement Planning'!$I$57+'Retirement Planning'!$K$56,(SUM(Z136:Z147)-'Retirement Planning'!$I$54-'Retirement Planning'!$I$61)*'Retirement Planning'!$I$56))))))/12,AA147)</f>
        <v>1610.8982628063143</v>
      </c>
      <c r="AB148" s="104">
        <f t="shared" ca="1" si="49"/>
        <v>0.20922546178602885</v>
      </c>
      <c r="AC148" s="7">
        <f>IF(B148&lt;65,'Retirement Planning'!$J$28,0)</f>
        <v>0</v>
      </c>
      <c r="AD148" s="7">
        <f>IF(B148&lt;65,'Retirement Planning'!$J$29/12,0)</f>
        <v>0</v>
      </c>
      <c r="AE148" s="22">
        <f>'Retirement Planning'!$J$31/12</f>
        <v>58.333333333333336</v>
      </c>
      <c r="AF148" s="22">
        <f>'Retirement Planning'!$J$32/12</f>
        <v>66.666666666666671</v>
      </c>
      <c r="AG148" s="7">
        <f>IF($B148&gt;64.9,'Retirement Planning'!$J$39/12,0)</f>
        <v>183.33333333333334</v>
      </c>
      <c r="AH148" s="7">
        <f>IF($B148&gt;64.9,'Retirement Planning'!$J$40/12,0)</f>
        <v>258.33333333333331</v>
      </c>
      <c r="AI148" s="7">
        <f>IF($B148&gt;64.9,'Retirement Planning'!$J$41/12,0)</f>
        <v>558.33333333333337</v>
      </c>
      <c r="AJ148" s="7">
        <f t="shared" ca="1" si="59"/>
        <v>316.66666666666663</v>
      </c>
      <c r="AK148" s="3" t="str">
        <f t="shared" ca="1" si="60"/>
        <v>N/A</v>
      </c>
      <c r="AL148" s="6" t="str">
        <f t="shared" ca="1" si="61"/>
        <v>N/A</v>
      </c>
      <c r="AM148" s="7">
        <f t="shared" ca="1" si="62"/>
        <v>1.2505552149377763E-12</v>
      </c>
      <c r="AN148" s="7">
        <f t="shared" ca="1" si="63"/>
        <v>10315.372245969013</v>
      </c>
      <c r="AO148" s="7">
        <f t="shared" si="64"/>
        <v>1125</v>
      </c>
    </row>
    <row r="149" spans="1:41" x14ac:dyDescent="0.2">
      <c r="A149">
        <f t="shared" si="65"/>
        <v>50</v>
      </c>
      <c r="B149" s="5">
        <f t="shared" si="66"/>
        <v>67.900000000000006</v>
      </c>
      <c r="C149" s="56">
        <f t="shared" si="67"/>
        <v>50649</v>
      </c>
      <c r="D149" s="57">
        <f ca="1">IF(AND(B148&lt;59.5,OR(B149&gt;59.5,B149=59.5)),(D148-E148+J148-K148)*(1+'Retirement Planning'!$J$23/12),(D148-E148)*(1+'Retirement Planning'!$J$23/12))</f>
        <v>333209.46773312887</v>
      </c>
      <c r="E149" s="58">
        <f t="shared" ca="1" si="54"/>
        <v>975.42219243641921</v>
      </c>
      <c r="F149" s="57">
        <f ca="1">IF(AND(OR(B149&gt;59.5,B149=59.5),B148&lt;59.5),(F148-G148+L148-M148+N148-O148)*(1+'Retirement Planning'!$J$23/12),(F148-G148)*(1+'Retirement Planning'!$J$23/12))</f>
        <v>1249706.9836091823</v>
      </c>
      <c r="G149" s="58">
        <f ca="1">IF(AND($B$10&lt;55,B149&lt;59.5),'Retirement Planning'!$J$25,IF(OR(B149&gt;59.5,B149=59.5),MAX(0,MIN(F149,IF(D149&lt;2500,((Y149+AJ149+AA149))-X149,((Y149+AJ149+AA149)*'Retirement Planning'!$J$44)-X149))),0))</f>
        <v>6487.1015192349014</v>
      </c>
      <c r="H149" s="255">
        <f ca="1">IF(MONTH(C149)=1,IF(B149&gt;69.5,F149/(INDEX('Retirement Planning'!D$1:D$264,(160+INT(B149))))/12,0),IF(F149=0,0,H148))</f>
        <v>0</v>
      </c>
      <c r="I149" s="262">
        <f t="shared" ca="1" si="55"/>
        <v>0</v>
      </c>
      <c r="J149" s="254">
        <f ca="1">IF(AND(B148&lt;59.5,OR(B149=59.5,B149&gt;59.5)),0,(J148-K148)*(1+'Retirement Planning'!$J$23/12))</f>
        <v>0</v>
      </c>
      <c r="K149" s="58">
        <f t="shared" ca="1" si="56"/>
        <v>0</v>
      </c>
      <c r="L149" s="57">
        <f>IF(AND(OR(B149&gt;59.5,B149=59.5),B148&lt;59.5),0,(L148-M148)*(1+'Retirement Planning'!$J$23/12))</f>
        <v>0</v>
      </c>
      <c r="M149" s="59">
        <f>IF(AND($B$10&lt;55,B149&lt;59.5),0,IF(B149&lt;59.5,MAX(0,MIN((($Y149+$AJ149+AA149)*'Retirement Planning'!$J$44)-$G149-$X149,L149)),0))</f>
        <v>0</v>
      </c>
      <c r="N149" s="57">
        <f ca="1">(N148-O148)*(1+'Retirement Planning'!$J$23/12)</f>
        <v>0</v>
      </c>
      <c r="O149" s="59">
        <f ca="1">IF(B149&gt;59.5,MAX(0,MIN((AA149+$Y149+$AJ149)*(IF(D149&lt;(MIN(E137:E148)+1),1,'Retirement Planning'!$J$44))-M149-$G149-$X149-(IF(D149&lt;(MIN(E137:E148)+1),D149,0)),N149)),0)</f>
        <v>0</v>
      </c>
      <c r="P149" s="57">
        <f t="shared" si="68"/>
        <v>0</v>
      </c>
      <c r="Q149" s="58">
        <f t="shared" si="69"/>
        <v>0</v>
      </c>
      <c r="R149" s="57">
        <f ca="1">(R148-S148-T148)*(1+'Retirement Planning'!$J$23/12)</f>
        <v>349808.17602922185</v>
      </c>
      <c r="S149" s="58">
        <f t="shared" ca="1" si="70"/>
        <v>808.33333333333337</v>
      </c>
      <c r="T149" s="273">
        <f t="shared" ca="1" si="57"/>
        <v>6.8212102632969618E-13</v>
      </c>
      <c r="U149" s="57">
        <f ca="1">(U148-V148)*(1+'Retirement Planning'!$J$23/12)</f>
        <v>277212.28690462152</v>
      </c>
      <c r="V149" s="24">
        <f ca="1">IF(AND($B$10&lt;55,B149&lt;59.5),MIN(U149,MAX(0,(Y149+AA149+AJ149-G149)*'Retirement Planning'!$J$45)),IF(B149&lt;59.5,(MIN(U149,MAX(0,((Y149+AA149+AJ149)-G149-M149)*'Retirement Planning'!$J$45))),MIN(U149,MAX(0,(Y149+AA149+AJ149-G149-M149-K149-X149)*'Retirement Planning'!$J$45))))</f>
        <v>830.9152009643575</v>
      </c>
      <c r="W149" s="7">
        <f t="shared" ca="1" si="58"/>
        <v>2209936.9142761547</v>
      </c>
      <c r="X149" s="7">
        <f>(IF(B149&gt;'Retirement Planning'!$J$34,IF('Retirement Planning'!$J$34=70,'Retirement Planning'!$J$37/12,IF('Retirement Planning'!$J$34=67,'Retirement Planning'!$J$36/12,'Retirement Planning'!$J$35/12)),0))*'Retirement Planning'!$J$38</f>
        <v>1213.6000000000001</v>
      </c>
      <c r="Y149" s="7">
        <f ca="1">'Retirement Planning'!$F$35*((1+'Retirement Planning'!$J$24)^(YEAR('Projected Retirement Drawdown'!C149)-YEAR(TODAY())))</f>
        <v>7579.4739831626985</v>
      </c>
      <c r="Z149" s="7">
        <f ca="1">G149+M149+O149+0.85*X149+V149*'Retirement Planning'!$J$46+T149</f>
        <v>7975.6648797652997</v>
      </c>
      <c r="AA149" s="7">
        <f ca="1">IF(MONTH(C149)=1,(((MIN(MAX(0,((SUM(Z137:Z148)-'Retirement Planning'!$I$53-'Retirement Planning'!$I$54)-'Retirement Planning'!$J$51)*'Retirement Planning'!$I$52))))+(MIN(MAX(0,((SUM(Z137:Z148)-'Retirement Planning'!$I$53-'Retirement Planning'!$I$54)-'Retirement Planning'!$J$50)*'Retirement Planning'!$I$51),('Retirement Planning'!$J$51-'Retirement Planning'!$J$50)*'Retirement Planning'!$I$51))+(MIN(MAX(0,((SUM(Z137:Z148)-'Retirement Planning'!$I$53-'Retirement Planning'!$I$54)-'Retirement Planning'!$J$49)*'Retirement Planning'!$I$50),('Retirement Planning'!$J$50-'Retirement Planning'!$J$49)*'Retirement Planning'!$I$50)+MIN(MAX(0,((SUM(Z137:Z148)-'Retirement Planning'!$I$53-'Retirement Planning'!$I$54)-'Retirement Planning'!$J$48)*'Retirement Planning'!$I$49),('Retirement Planning'!$J$49-'Retirement Planning'!$J$48)*'Retirement Planning'!$I$49)+MIN(((SUM(Z137:Z148)-'Retirement Planning'!$I$53-'Retirement Planning'!$I$54))*'Retirement Planning'!$I$48,('Retirement Planning'!$J$48)*'Retirement Planning'!$I$48))+(IF((SUM(Z137:Z148)-'Retirement Planning'!$I$54-'Retirement Planning'!$I$61)&gt;'Retirement Planning'!$J$59,(SUM(Z137:Z148)-'Retirement Planning'!$I$54-'Retirement Planning'!$I$61-'Retirement Planning'!$J$59)*'Retirement Planning'!$I$60+'Retirement Planning'!$K$59,IF((SUM(Z137:Z148)-'Retirement Planning'!$I$54-'Retirement Planning'!$I$61)&gt;'Retirement Planning'!$J$58,(SUM(Z137:Z148)-'Retirement Planning'!$I$54-'Retirement Planning'!$I$61-'Retirement Planning'!$J$58)*'Retirement Planning'!$I$59+'Retirement Planning'!$K$58,IF((SUM(Z137:Z148)-'Retirement Planning'!$I$54-'Retirement Planning'!$I$61)&gt;'Retirement Planning'!$J$57,(SUM(Z137:Z148)-'Retirement Planning'!$I$54-'Retirement Planning'!$I$61-'Retirement Planning'!$J$57)*'Retirement Planning'!$I$58+'Retirement Planning'!$K$57,IF((SUM(Z137:Z148)-'Retirement Planning'!$I$54-'Retirement Planning'!$I$61)&gt;'Retirement Planning'!$J$56,(SUM(Z137:Z148)-'Retirement Planning'!$I$54-'Retirement Planning'!$I$61-'Retirement Planning'!$J$56)*'Retirement Planning'!$I$57+'Retirement Planning'!$K$56,(SUM(Z137:Z148)-'Retirement Planning'!$I$54-'Retirement Planning'!$I$61)*'Retirement Planning'!$I$56))))))/12,AA148)</f>
        <v>1610.8982628063143</v>
      </c>
      <c r="AB149" s="104">
        <f t="shared" ca="1" si="49"/>
        <v>0.20922546178602885</v>
      </c>
      <c r="AC149" s="7">
        <f>IF(B149&lt;65,'Retirement Planning'!$J$28,0)</f>
        <v>0</v>
      </c>
      <c r="AD149" s="7">
        <f>IF(B149&lt;65,'Retirement Planning'!$J$29/12,0)</f>
        <v>0</v>
      </c>
      <c r="AE149" s="22">
        <f>'Retirement Planning'!$J$31/12</f>
        <v>58.333333333333336</v>
      </c>
      <c r="AF149" s="22">
        <f>'Retirement Planning'!$J$32/12</f>
        <v>66.666666666666671</v>
      </c>
      <c r="AG149" s="7">
        <f>IF($B149&gt;64.9,'Retirement Planning'!$J$39/12,0)</f>
        <v>183.33333333333334</v>
      </c>
      <c r="AH149" s="7">
        <f>IF($B149&gt;64.9,'Retirement Planning'!$J$40/12,0)</f>
        <v>258.33333333333331</v>
      </c>
      <c r="AI149" s="7">
        <f>IF($B149&gt;64.9,'Retirement Planning'!$J$41/12,0)</f>
        <v>558.33333333333337</v>
      </c>
      <c r="AJ149" s="7">
        <f t="shared" ca="1" si="59"/>
        <v>316.66666666666663</v>
      </c>
      <c r="AK149" s="3" t="str">
        <f t="shared" ca="1" si="60"/>
        <v>N/A</v>
      </c>
      <c r="AL149" s="6" t="str">
        <f t="shared" ca="1" si="61"/>
        <v>N/A</v>
      </c>
      <c r="AM149" s="7">
        <f t="shared" ca="1" si="62"/>
        <v>1.2505552149377763E-12</v>
      </c>
      <c r="AN149" s="7">
        <f t="shared" ca="1" si="63"/>
        <v>10315.372245969013</v>
      </c>
      <c r="AO149" s="7">
        <f t="shared" si="64"/>
        <v>1125</v>
      </c>
    </row>
    <row r="150" spans="1:41" x14ac:dyDescent="0.2">
      <c r="A150">
        <f t="shared" si="65"/>
        <v>50</v>
      </c>
      <c r="B150" s="5">
        <f t="shared" si="66"/>
        <v>68</v>
      </c>
      <c r="C150" s="56">
        <f t="shared" si="67"/>
        <v>50679</v>
      </c>
      <c r="D150" s="57">
        <f ca="1">IF(AND(B149&lt;59.5,OR(B150&gt;59.5,B150=59.5)),(D149-E149+J149-K149)*(1+'Retirement Planning'!$J$23/12),(D149-E149)*(1+'Retirement Planning'!$J$23/12))</f>
        <v>334587.37002993905</v>
      </c>
      <c r="E150" s="58">
        <f t="shared" ca="1" si="54"/>
        <v>975.42219243641921</v>
      </c>
      <c r="F150" s="57">
        <f ca="1">IF(AND(OR(B150&gt;59.5,B150=59.5),B149&lt;59.5),(F149-G149+L149-M149+N149-O149)*(1+'Retirement Planning'!$J$23/12),(F149-G149)*(1+'Retirement Planning'!$J$23/12))</f>
        <v>1252026.0229214178</v>
      </c>
      <c r="G150" s="58">
        <f ca="1">IF(AND($B$10&lt;55,B150&lt;59.5),'Retirement Planning'!$J$25,IF(OR(B150&gt;59.5,B150=59.5),MAX(0,MIN(F150,IF(D150&lt;2500,((Y150+AJ150+AA150))-X150,((Y150+AJ150+AA150)*'Retirement Planning'!$J$44)-X150))),0))</f>
        <v>6487.1015192349014</v>
      </c>
      <c r="H150" s="255">
        <f ca="1">IF(MONTH(C150)=1,IF(B150&gt;69.5,F150/(INDEX('Retirement Planning'!D$1:D$264,(160+INT(B150))))/12,0),IF(F150=0,0,H149))</f>
        <v>0</v>
      </c>
      <c r="I150" s="262">
        <f t="shared" ca="1" si="55"/>
        <v>0</v>
      </c>
      <c r="J150" s="254">
        <f ca="1">IF(AND(B149&lt;59.5,OR(B150=59.5,B150&gt;59.5)),0,(J149-K149)*(1+'Retirement Planning'!$J$23/12))</f>
        <v>0</v>
      </c>
      <c r="K150" s="58">
        <f t="shared" ca="1" si="56"/>
        <v>0</v>
      </c>
      <c r="L150" s="57">
        <f>IF(AND(OR(B150&gt;59.5,B150=59.5),B149&lt;59.5),0,(L149-M149)*(1+'Retirement Planning'!$J$23/12))</f>
        <v>0</v>
      </c>
      <c r="M150" s="59">
        <f>IF(AND($B$10&lt;55,B150&lt;59.5),0,IF(B150&lt;59.5,MAX(0,MIN((($Y150+$AJ150+AA150)*'Retirement Planning'!$J$44)-$G150-$X150,L150)),0))</f>
        <v>0</v>
      </c>
      <c r="N150" s="57">
        <f ca="1">(N149-O149)*(1+'Retirement Planning'!$J$23/12)</f>
        <v>0</v>
      </c>
      <c r="O150" s="59">
        <f ca="1">IF(B150&gt;59.5,MAX(0,MIN((AA150+$Y150+$AJ150)*(IF(D150&lt;(MIN(E138:E149)+1),1,'Retirement Planning'!$J$44))-M150-$G150-$X150-(IF(D150&lt;(MIN(E138:E149)+1),D150,0)),N150)),0)</f>
        <v>0</v>
      </c>
      <c r="P150" s="57">
        <f t="shared" si="68"/>
        <v>0</v>
      </c>
      <c r="Q150" s="58">
        <f t="shared" si="69"/>
        <v>0</v>
      </c>
      <c r="R150" s="57">
        <f ca="1">(R149-S149-T149)*(1+'Retirement Planning'!$J$23/12)</f>
        <v>351471.92491498444</v>
      </c>
      <c r="S150" s="58">
        <f t="shared" ca="1" si="70"/>
        <v>808.33333333333337</v>
      </c>
      <c r="T150" s="273">
        <f t="shared" ca="1" si="57"/>
        <v>6.8212102632969618E-13</v>
      </c>
      <c r="U150" s="57">
        <f ca="1">(U149-V149)*(1+'Retirement Planning'!$J$23/12)</f>
        <v>278339.07308655803</v>
      </c>
      <c r="V150" s="24">
        <f ca="1">IF(AND($B$10&lt;55,B150&lt;59.5),MIN(U150,MAX(0,(Y150+AA150+AJ150-G150)*'Retirement Planning'!$J$45)),IF(B150&lt;59.5,(MIN(U150,MAX(0,((Y150+AA150+AJ150)-G150-M150)*'Retirement Planning'!$J$45))),MIN(U150,MAX(0,(Y150+AA150+AJ150-G150-M150-K150-X150)*'Retirement Planning'!$J$45))))</f>
        <v>830.9152009643575</v>
      </c>
      <c r="W150" s="7">
        <f t="shared" ca="1" si="58"/>
        <v>2216424.3909528996</v>
      </c>
      <c r="X150" s="7">
        <f>(IF(B150&gt;'Retirement Planning'!$J$34,IF('Retirement Planning'!$J$34=70,'Retirement Planning'!$J$37/12,IF('Retirement Planning'!$J$34=67,'Retirement Planning'!$J$36/12,'Retirement Planning'!$J$35/12)),0))*'Retirement Planning'!$J$38</f>
        <v>1213.6000000000001</v>
      </c>
      <c r="Y150" s="7">
        <f ca="1">'Retirement Planning'!$F$35*((1+'Retirement Planning'!$J$24)^(YEAR('Projected Retirement Drawdown'!C150)-YEAR(TODAY())))</f>
        <v>7579.4739831626985</v>
      </c>
      <c r="Z150" s="7">
        <f ca="1">G150+M150+O150+0.85*X150+V150*'Retirement Planning'!$J$46+T150</f>
        <v>7975.6648797652997</v>
      </c>
      <c r="AA150" s="7">
        <f ca="1">IF(MONTH(C150)=1,(((MIN(MAX(0,((SUM(Z138:Z149)-'Retirement Planning'!$I$53-'Retirement Planning'!$I$54)-'Retirement Planning'!$J$51)*'Retirement Planning'!$I$52))))+(MIN(MAX(0,((SUM(Z138:Z149)-'Retirement Planning'!$I$53-'Retirement Planning'!$I$54)-'Retirement Planning'!$J$50)*'Retirement Planning'!$I$51),('Retirement Planning'!$J$51-'Retirement Planning'!$J$50)*'Retirement Planning'!$I$51))+(MIN(MAX(0,((SUM(Z138:Z149)-'Retirement Planning'!$I$53-'Retirement Planning'!$I$54)-'Retirement Planning'!$J$49)*'Retirement Planning'!$I$50),('Retirement Planning'!$J$50-'Retirement Planning'!$J$49)*'Retirement Planning'!$I$50)+MIN(MAX(0,((SUM(Z138:Z149)-'Retirement Planning'!$I$53-'Retirement Planning'!$I$54)-'Retirement Planning'!$J$48)*'Retirement Planning'!$I$49),('Retirement Planning'!$J$49-'Retirement Planning'!$J$48)*'Retirement Planning'!$I$49)+MIN(((SUM(Z138:Z149)-'Retirement Planning'!$I$53-'Retirement Planning'!$I$54))*'Retirement Planning'!$I$48,('Retirement Planning'!$J$48)*'Retirement Planning'!$I$48))+(IF((SUM(Z138:Z149)-'Retirement Planning'!$I$54-'Retirement Planning'!$I$61)&gt;'Retirement Planning'!$J$59,(SUM(Z138:Z149)-'Retirement Planning'!$I$54-'Retirement Planning'!$I$61-'Retirement Planning'!$J$59)*'Retirement Planning'!$I$60+'Retirement Planning'!$K$59,IF((SUM(Z138:Z149)-'Retirement Planning'!$I$54-'Retirement Planning'!$I$61)&gt;'Retirement Planning'!$J$58,(SUM(Z138:Z149)-'Retirement Planning'!$I$54-'Retirement Planning'!$I$61-'Retirement Planning'!$J$58)*'Retirement Planning'!$I$59+'Retirement Planning'!$K$58,IF((SUM(Z138:Z149)-'Retirement Planning'!$I$54-'Retirement Planning'!$I$61)&gt;'Retirement Planning'!$J$57,(SUM(Z138:Z149)-'Retirement Planning'!$I$54-'Retirement Planning'!$I$61-'Retirement Planning'!$J$57)*'Retirement Planning'!$I$58+'Retirement Planning'!$K$57,IF((SUM(Z138:Z149)-'Retirement Planning'!$I$54-'Retirement Planning'!$I$61)&gt;'Retirement Planning'!$J$56,(SUM(Z138:Z149)-'Retirement Planning'!$I$54-'Retirement Planning'!$I$61-'Retirement Planning'!$J$56)*'Retirement Planning'!$I$57+'Retirement Planning'!$K$56,(SUM(Z138:Z149)-'Retirement Planning'!$I$54-'Retirement Planning'!$I$61)*'Retirement Planning'!$I$56))))))/12,AA149)</f>
        <v>1610.8982628063143</v>
      </c>
      <c r="AB150" s="104">
        <f t="shared" ca="1" si="49"/>
        <v>0.20922546178602885</v>
      </c>
      <c r="AC150" s="7">
        <f>IF(B150&lt;65,'Retirement Planning'!$J$28,0)</f>
        <v>0</v>
      </c>
      <c r="AD150" s="7">
        <f>IF(B150&lt;65,'Retirement Planning'!$J$29/12,0)</f>
        <v>0</v>
      </c>
      <c r="AE150" s="22">
        <f>'Retirement Planning'!$J$31/12</f>
        <v>58.333333333333336</v>
      </c>
      <c r="AF150" s="22">
        <f>'Retirement Planning'!$J$32/12</f>
        <v>66.666666666666671</v>
      </c>
      <c r="AG150" s="7">
        <f>IF($B150&gt;64.9,'Retirement Planning'!$J$39/12,0)</f>
        <v>183.33333333333334</v>
      </c>
      <c r="AH150" s="7">
        <f>IF($B150&gt;64.9,'Retirement Planning'!$J$40/12,0)</f>
        <v>258.33333333333331</v>
      </c>
      <c r="AI150" s="7">
        <f>IF($B150&gt;64.9,'Retirement Planning'!$J$41/12,0)</f>
        <v>558.33333333333337</v>
      </c>
      <c r="AJ150" s="7">
        <f t="shared" ca="1" si="59"/>
        <v>316.66666666666663</v>
      </c>
      <c r="AK150" s="3" t="str">
        <f t="shared" ca="1" si="60"/>
        <v>N/A</v>
      </c>
      <c r="AL150" s="6" t="str">
        <f t="shared" ca="1" si="61"/>
        <v>N/A</v>
      </c>
      <c r="AM150" s="7">
        <f t="shared" ca="1" si="62"/>
        <v>1.2505552149377763E-12</v>
      </c>
      <c r="AN150" s="7">
        <f t="shared" ca="1" si="63"/>
        <v>10315.372245969013</v>
      </c>
      <c r="AO150" s="7">
        <f t="shared" si="64"/>
        <v>1125</v>
      </c>
    </row>
    <row r="151" spans="1:41" x14ac:dyDescent="0.2">
      <c r="A151">
        <f t="shared" si="65"/>
        <v>50</v>
      </c>
      <c r="B151" s="5">
        <f t="shared" si="66"/>
        <v>68</v>
      </c>
      <c r="C151" s="56">
        <f t="shared" si="67"/>
        <v>50710</v>
      </c>
      <c r="D151" s="57">
        <f ca="1">IF(AND(B150&lt;59.5,OR(B151&gt;59.5,B151=59.5)),(D150-E150+J150-K150)*(1+'Retirement Planning'!$J$23/12),(D150-E150)*(1+'Retirement Planning'!$J$23/12))</f>
        <v>335975.0324680183</v>
      </c>
      <c r="E151" s="58">
        <f t="shared" ca="1" si="54"/>
        <v>975.42219243641921</v>
      </c>
      <c r="F151" s="57">
        <f ca="1">IF(AND(OR(B151&gt;59.5,B151=59.5),B150&lt;59.5),(F150-G150+L150-M150+N150-O150)*(1+'Retirement Planning'!$J$23/12),(F150-G150)*(1+'Retirement Planning'!$J$23/12))</f>
        <v>1254361.4887621151</v>
      </c>
      <c r="G151" s="58">
        <f ca="1">IF(AND($B$10&lt;55,B151&lt;59.5),'Retirement Planning'!$J$25,IF(OR(B151&gt;59.5,B151=59.5),MAX(0,MIN(F151,IF(D151&lt;2500,((Y151+AJ151+AA151))-X151,((Y151+AJ151+AA151)*'Retirement Planning'!$J$44)-X151))),0))</f>
        <v>6487.1015192349014</v>
      </c>
      <c r="H151" s="255">
        <f ca="1">IF(MONTH(C151)=1,IF(B151&gt;69.5,F151/(INDEX('Retirement Planning'!D$1:D$264,(160+INT(B151))))/12,0),IF(F151=0,0,H150))</f>
        <v>0</v>
      </c>
      <c r="I151" s="262">
        <f t="shared" ca="1" si="55"/>
        <v>0</v>
      </c>
      <c r="J151" s="254">
        <f ca="1">IF(AND(B150&lt;59.5,OR(B151=59.5,B151&gt;59.5)),0,(J150-K150)*(1+'Retirement Planning'!$J$23/12))</f>
        <v>0</v>
      </c>
      <c r="K151" s="58">
        <f t="shared" ca="1" si="56"/>
        <v>0</v>
      </c>
      <c r="L151" s="57">
        <f>IF(AND(OR(B151&gt;59.5,B151=59.5),B150&lt;59.5),0,(L150-M150)*(1+'Retirement Planning'!$J$23/12))</f>
        <v>0</v>
      </c>
      <c r="M151" s="59">
        <f>IF(AND($B$10&lt;55,B151&lt;59.5),0,IF(B151&lt;59.5,MAX(0,MIN((($Y151+$AJ151+AA151)*'Retirement Planning'!$J$44)-$G151-$X151,L151)),0))</f>
        <v>0</v>
      </c>
      <c r="N151" s="57">
        <f ca="1">(N150-O150)*(1+'Retirement Planning'!$J$23/12)</f>
        <v>0</v>
      </c>
      <c r="O151" s="59">
        <f ca="1">IF(B151&gt;59.5,MAX(0,MIN((AA151+$Y151+$AJ151)*(IF(D151&lt;(MIN(E139:E150)+1),1,'Retirement Planning'!$J$44))-M151-$G151-$X151-(IF(D151&lt;(MIN(E139:E150)+1),D151,0)),N151)),0)</f>
        <v>0</v>
      </c>
      <c r="P151" s="57">
        <f t="shared" si="68"/>
        <v>0</v>
      </c>
      <c r="Q151" s="58">
        <f t="shared" si="69"/>
        <v>0</v>
      </c>
      <c r="R151" s="57">
        <f ca="1">(R150-S150-T150)*(1+'Retirement Planning'!$J$23/12)</f>
        <v>353147.45868868782</v>
      </c>
      <c r="S151" s="58">
        <f t="shared" ca="1" si="70"/>
        <v>808.33333333333337</v>
      </c>
      <c r="T151" s="273">
        <f t="shared" ca="1" si="57"/>
        <v>6.8212102632969618E-13</v>
      </c>
      <c r="U151" s="57">
        <f ca="1">(U150-V150)*(1+'Retirement Planning'!$J$23/12)</f>
        <v>279473.8406706166</v>
      </c>
      <c r="V151" s="24">
        <f ca="1">IF(AND($B$10&lt;55,B151&lt;59.5),MIN(U151,MAX(0,(Y151+AA151+AJ151-G151)*'Retirement Planning'!$J$45)),IF(B151&lt;59.5,(MIN(U151,MAX(0,((Y151+AA151+AJ151)-G151-M151)*'Retirement Planning'!$J$45))),MIN(U151,MAX(0,(Y151+AA151+AJ151-G151-M151-K151-X151)*'Retirement Planning'!$J$45))))</f>
        <v>830.9152009643575</v>
      </c>
      <c r="W151" s="7">
        <f t="shared" ca="1" si="58"/>
        <v>2222957.8205894381</v>
      </c>
      <c r="X151" s="7">
        <f>(IF(B151&gt;'Retirement Planning'!$J$34,IF('Retirement Planning'!$J$34=70,'Retirement Planning'!$J$37/12,IF('Retirement Planning'!$J$34=67,'Retirement Planning'!$J$36/12,'Retirement Planning'!$J$35/12)),0))*'Retirement Planning'!$J$38</f>
        <v>1213.6000000000001</v>
      </c>
      <c r="Y151" s="7">
        <f ca="1">'Retirement Planning'!$F$35*((1+'Retirement Planning'!$J$24)^(YEAR('Projected Retirement Drawdown'!C151)-YEAR(TODAY())))</f>
        <v>7579.4739831626985</v>
      </c>
      <c r="Z151" s="7">
        <f ca="1">G151+M151+O151+0.85*X151+V151*'Retirement Planning'!$J$46+T151</f>
        <v>7975.6648797652997</v>
      </c>
      <c r="AA151" s="7">
        <f ca="1">IF(MONTH(C151)=1,(((MIN(MAX(0,((SUM(Z139:Z150)-'Retirement Planning'!$I$53-'Retirement Planning'!$I$54)-'Retirement Planning'!$J$51)*'Retirement Planning'!$I$52))))+(MIN(MAX(0,((SUM(Z139:Z150)-'Retirement Planning'!$I$53-'Retirement Planning'!$I$54)-'Retirement Planning'!$J$50)*'Retirement Planning'!$I$51),('Retirement Planning'!$J$51-'Retirement Planning'!$J$50)*'Retirement Planning'!$I$51))+(MIN(MAX(0,((SUM(Z139:Z150)-'Retirement Planning'!$I$53-'Retirement Planning'!$I$54)-'Retirement Planning'!$J$49)*'Retirement Planning'!$I$50),('Retirement Planning'!$J$50-'Retirement Planning'!$J$49)*'Retirement Planning'!$I$50)+MIN(MAX(0,((SUM(Z139:Z150)-'Retirement Planning'!$I$53-'Retirement Planning'!$I$54)-'Retirement Planning'!$J$48)*'Retirement Planning'!$I$49),('Retirement Planning'!$J$49-'Retirement Planning'!$J$48)*'Retirement Planning'!$I$49)+MIN(((SUM(Z139:Z150)-'Retirement Planning'!$I$53-'Retirement Planning'!$I$54))*'Retirement Planning'!$I$48,('Retirement Planning'!$J$48)*'Retirement Planning'!$I$48))+(IF((SUM(Z139:Z150)-'Retirement Planning'!$I$54-'Retirement Planning'!$I$61)&gt;'Retirement Planning'!$J$59,(SUM(Z139:Z150)-'Retirement Planning'!$I$54-'Retirement Planning'!$I$61-'Retirement Planning'!$J$59)*'Retirement Planning'!$I$60+'Retirement Planning'!$K$59,IF((SUM(Z139:Z150)-'Retirement Planning'!$I$54-'Retirement Planning'!$I$61)&gt;'Retirement Planning'!$J$58,(SUM(Z139:Z150)-'Retirement Planning'!$I$54-'Retirement Planning'!$I$61-'Retirement Planning'!$J$58)*'Retirement Planning'!$I$59+'Retirement Planning'!$K$58,IF((SUM(Z139:Z150)-'Retirement Planning'!$I$54-'Retirement Planning'!$I$61)&gt;'Retirement Planning'!$J$57,(SUM(Z139:Z150)-'Retirement Planning'!$I$54-'Retirement Planning'!$I$61-'Retirement Planning'!$J$57)*'Retirement Planning'!$I$58+'Retirement Planning'!$K$57,IF((SUM(Z139:Z150)-'Retirement Planning'!$I$54-'Retirement Planning'!$I$61)&gt;'Retirement Planning'!$J$56,(SUM(Z139:Z150)-'Retirement Planning'!$I$54-'Retirement Planning'!$I$61-'Retirement Planning'!$J$56)*'Retirement Planning'!$I$57+'Retirement Planning'!$K$56,(SUM(Z139:Z150)-'Retirement Planning'!$I$54-'Retirement Planning'!$I$61)*'Retirement Planning'!$I$56))))))/12,AA150)</f>
        <v>1610.8982628063143</v>
      </c>
      <c r="AB151" s="104">
        <f t="shared" ca="1" si="49"/>
        <v>0.20922546178602885</v>
      </c>
      <c r="AC151" s="7">
        <f>IF(B151&lt;65,'Retirement Planning'!$J$28,0)</f>
        <v>0</v>
      </c>
      <c r="AD151" s="7">
        <f>IF(B151&lt;65,'Retirement Planning'!$J$29/12,0)</f>
        <v>0</v>
      </c>
      <c r="AE151" s="22">
        <f>'Retirement Planning'!$J$31/12</f>
        <v>58.333333333333336</v>
      </c>
      <c r="AF151" s="22">
        <f>'Retirement Planning'!$J$32/12</f>
        <v>66.666666666666671</v>
      </c>
      <c r="AG151" s="7">
        <f>IF($B151&gt;64.9,'Retirement Planning'!$J$39/12,0)</f>
        <v>183.33333333333334</v>
      </c>
      <c r="AH151" s="7">
        <f>IF($B151&gt;64.9,'Retirement Planning'!$J$40/12,0)</f>
        <v>258.33333333333331</v>
      </c>
      <c r="AI151" s="7">
        <f>IF($B151&gt;64.9,'Retirement Planning'!$J$41/12,0)</f>
        <v>558.33333333333337</v>
      </c>
      <c r="AJ151" s="7">
        <f t="shared" ca="1" si="59"/>
        <v>316.66666666666663</v>
      </c>
      <c r="AK151" s="3" t="str">
        <f t="shared" ca="1" si="60"/>
        <v>N/A</v>
      </c>
      <c r="AL151" s="6" t="str">
        <f t="shared" ca="1" si="61"/>
        <v>N/A</v>
      </c>
      <c r="AM151" s="7">
        <f t="shared" ca="1" si="62"/>
        <v>1.2505552149377763E-12</v>
      </c>
      <c r="AN151" s="7">
        <f t="shared" ca="1" si="63"/>
        <v>10315.372245969013</v>
      </c>
      <c r="AO151" s="7">
        <f t="shared" si="64"/>
        <v>1125</v>
      </c>
    </row>
    <row r="152" spans="1:41" x14ac:dyDescent="0.2">
      <c r="A152">
        <f t="shared" si="65"/>
        <v>50</v>
      </c>
      <c r="B152" s="5">
        <f t="shared" si="66"/>
        <v>68.099999999999994</v>
      </c>
      <c r="C152" s="56">
        <f t="shared" si="67"/>
        <v>50740</v>
      </c>
      <c r="D152" s="57">
        <f ca="1">IF(AND(B151&lt;59.5,OR(B152&gt;59.5,B152=59.5)),(D151-E151+J151-K151)*(1+'Retirement Planning'!$J$23/12),(D151-E151)*(1+'Retirement Planning'!$J$23/12))</f>
        <v>337372.5241817006</v>
      </c>
      <c r="E152" s="58">
        <f t="shared" ca="1" si="54"/>
        <v>975.42219243641921</v>
      </c>
      <c r="F152" s="57">
        <f ca="1">IF(AND(OR(B152&gt;59.5,B152=59.5),B151&lt;59.5),(F151-G151+L151-M151+N151-O151)*(1+'Retirement Planning'!$J$23/12),(F151-G151)*(1+'Retirement Planning'!$J$23/12))</f>
        <v>1256713.4974858505</v>
      </c>
      <c r="G152" s="58">
        <f ca="1">IF(AND($B$10&lt;55,B152&lt;59.5),'Retirement Planning'!$J$25,IF(OR(B152&gt;59.5,B152=59.5),MAX(0,MIN(F152,IF(D152&lt;2500,((Y152+AJ152+AA152))-X152,((Y152+AJ152+AA152)*'Retirement Planning'!$J$44)-X152))),0))</f>
        <v>6487.1015192349014</v>
      </c>
      <c r="H152" s="255">
        <f ca="1">IF(MONTH(C152)=1,IF(B152&gt;69.5,F152/(INDEX('Retirement Planning'!D$1:D$264,(160+INT(B152))))/12,0),IF(F152=0,0,H151))</f>
        <v>0</v>
      </c>
      <c r="I152" s="262">
        <f t="shared" ca="1" si="55"/>
        <v>0</v>
      </c>
      <c r="J152" s="254">
        <f ca="1">IF(AND(B151&lt;59.5,OR(B152=59.5,B152&gt;59.5)),0,(J151-K151)*(1+'Retirement Planning'!$J$23/12))</f>
        <v>0</v>
      </c>
      <c r="K152" s="58">
        <f t="shared" ca="1" si="56"/>
        <v>0</v>
      </c>
      <c r="L152" s="57">
        <f>IF(AND(OR(B152&gt;59.5,B152=59.5),B151&lt;59.5),0,(L151-M151)*(1+'Retirement Planning'!$J$23/12))</f>
        <v>0</v>
      </c>
      <c r="M152" s="59">
        <f>IF(AND($B$10&lt;55,B152&lt;59.5),0,IF(B152&lt;59.5,MAX(0,MIN((($Y152+$AJ152+AA152)*'Retirement Planning'!$J$44)-$G152-$X152,L152)),0))</f>
        <v>0</v>
      </c>
      <c r="N152" s="57">
        <f ca="1">(N151-O151)*(1+'Retirement Planning'!$J$23/12)</f>
        <v>0</v>
      </c>
      <c r="O152" s="59">
        <f ca="1">IF(B152&gt;59.5,MAX(0,MIN((AA152+$Y152+$AJ152)*(IF(D152&lt;(MIN(E140:E151)+1),1,'Retirement Planning'!$J$44))-M152-$G152-$X152-(IF(D152&lt;(MIN(E140:E151)+1),D152,0)),N152)),0)</f>
        <v>0</v>
      </c>
      <c r="P152" s="57">
        <f t="shared" si="68"/>
        <v>0</v>
      </c>
      <c r="Q152" s="58">
        <f t="shared" si="69"/>
        <v>0</v>
      </c>
      <c r="R152" s="57">
        <f ca="1">(R151-S151-T151)*(1+'Retirement Planning'!$J$23/12)</f>
        <v>354834.86082662159</v>
      </c>
      <c r="S152" s="58">
        <f t="shared" ca="1" si="70"/>
        <v>808.33333333333337</v>
      </c>
      <c r="T152" s="273">
        <f t="shared" ca="1" si="57"/>
        <v>6.8212102632969618E-13</v>
      </c>
      <c r="U152" s="57">
        <f ca="1">(U151-V151)*(1+'Retirement Planning'!$J$23/12)</f>
        <v>280616.64619172894</v>
      </c>
      <c r="V152" s="24">
        <f ca="1">IF(AND($B$10&lt;55,B152&lt;59.5),MIN(U152,MAX(0,(Y152+AA152+AJ152-G152)*'Retirement Planning'!$J$45)),IF(B152&lt;59.5,(MIN(U152,MAX(0,((Y152+AA152+AJ152)-G152-M152)*'Retirement Planning'!$J$45))),MIN(U152,MAX(0,(Y152+AA152+AJ152-G152-M152-K152-X152)*'Retirement Planning'!$J$45))))</f>
        <v>830.9152009643575</v>
      </c>
      <c r="W152" s="7">
        <f t="shared" ca="1" si="58"/>
        <v>2229537.5286859013</v>
      </c>
      <c r="X152" s="7">
        <f>(IF(B152&gt;'Retirement Planning'!$J$34,IF('Retirement Planning'!$J$34=70,'Retirement Planning'!$J$37/12,IF('Retirement Planning'!$J$34=67,'Retirement Planning'!$J$36/12,'Retirement Planning'!$J$35/12)),0))*'Retirement Planning'!$J$38</f>
        <v>1213.6000000000001</v>
      </c>
      <c r="Y152" s="7">
        <f ca="1">'Retirement Planning'!$F$35*((1+'Retirement Planning'!$J$24)^(YEAR('Projected Retirement Drawdown'!C152)-YEAR(TODAY())))</f>
        <v>7579.4739831626985</v>
      </c>
      <c r="Z152" s="7">
        <f ca="1">G152+M152+O152+0.85*X152+V152*'Retirement Planning'!$J$46+T152</f>
        <v>7975.6648797652997</v>
      </c>
      <c r="AA152" s="7">
        <f ca="1">IF(MONTH(C152)=1,(((MIN(MAX(0,((SUM(Z140:Z151)-'Retirement Planning'!$I$53-'Retirement Planning'!$I$54)-'Retirement Planning'!$J$51)*'Retirement Planning'!$I$52))))+(MIN(MAX(0,((SUM(Z140:Z151)-'Retirement Planning'!$I$53-'Retirement Planning'!$I$54)-'Retirement Planning'!$J$50)*'Retirement Planning'!$I$51),('Retirement Planning'!$J$51-'Retirement Planning'!$J$50)*'Retirement Planning'!$I$51))+(MIN(MAX(0,((SUM(Z140:Z151)-'Retirement Planning'!$I$53-'Retirement Planning'!$I$54)-'Retirement Planning'!$J$49)*'Retirement Planning'!$I$50),('Retirement Planning'!$J$50-'Retirement Planning'!$J$49)*'Retirement Planning'!$I$50)+MIN(MAX(0,((SUM(Z140:Z151)-'Retirement Planning'!$I$53-'Retirement Planning'!$I$54)-'Retirement Planning'!$J$48)*'Retirement Planning'!$I$49),('Retirement Planning'!$J$49-'Retirement Planning'!$J$48)*'Retirement Planning'!$I$49)+MIN(((SUM(Z140:Z151)-'Retirement Planning'!$I$53-'Retirement Planning'!$I$54))*'Retirement Planning'!$I$48,('Retirement Planning'!$J$48)*'Retirement Planning'!$I$48))+(IF((SUM(Z140:Z151)-'Retirement Planning'!$I$54-'Retirement Planning'!$I$61)&gt;'Retirement Planning'!$J$59,(SUM(Z140:Z151)-'Retirement Planning'!$I$54-'Retirement Planning'!$I$61-'Retirement Planning'!$J$59)*'Retirement Planning'!$I$60+'Retirement Planning'!$K$59,IF((SUM(Z140:Z151)-'Retirement Planning'!$I$54-'Retirement Planning'!$I$61)&gt;'Retirement Planning'!$J$58,(SUM(Z140:Z151)-'Retirement Planning'!$I$54-'Retirement Planning'!$I$61-'Retirement Planning'!$J$58)*'Retirement Planning'!$I$59+'Retirement Planning'!$K$58,IF((SUM(Z140:Z151)-'Retirement Planning'!$I$54-'Retirement Planning'!$I$61)&gt;'Retirement Planning'!$J$57,(SUM(Z140:Z151)-'Retirement Planning'!$I$54-'Retirement Planning'!$I$61-'Retirement Planning'!$J$57)*'Retirement Planning'!$I$58+'Retirement Planning'!$K$57,IF((SUM(Z140:Z151)-'Retirement Planning'!$I$54-'Retirement Planning'!$I$61)&gt;'Retirement Planning'!$J$56,(SUM(Z140:Z151)-'Retirement Planning'!$I$54-'Retirement Planning'!$I$61-'Retirement Planning'!$J$56)*'Retirement Planning'!$I$57+'Retirement Planning'!$K$56,(SUM(Z140:Z151)-'Retirement Planning'!$I$54-'Retirement Planning'!$I$61)*'Retirement Planning'!$I$56))))))/12,AA151)</f>
        <v>1610.8982628063143</v>
      </c>
      <c r="AB152" s="104">
        <f t="shared" ca="1" si="49"/>
        <v>0.20922546178602885</v>
      </c>
      <c r="AC152" s="7">
        <f>IF(B152&lt;65,'Retirement Planning'!$J$28,0)</f>
        <v>0</v>
      </c>
      <c r="AD152" s="7">
        <f>IF(B152&lt;65,'Retirement Planning'!$J$29/12,0)</f>
        <v>0</v>
      </c>
      <c r="AE152" s="22">
        <f>'Retirement Planning'!$J$31/12</f>
        <v>58.333333333333336</v>
      </c>
      <c r="AF152" s="22">
        <f>'Retirement Planning'!$J$32/12</f>
        <v>66.666666666666671</v>
      </c>
      <c r="AG152" s="7">
        <f>IF($B152&gt;64.9,'Retirement Planning'!$J$39/12,0)</f>
        <v>183.33333333333334</v>
      </c>
      <c r="AH152" s="7">
        <f>IF($B152&gt;64.9,'Retirement Planning'!$J$40/12,0)</f>
        <v>258.33333333333331</v>
      </c>
      <c r="AI152" s="7">
        <f>IF($B152&gt;64.9,'Retirement Planning'!$J$41/12,0)</f>
        <v>558.33333333333337</v>
      </c>
      <c r="AJ152" s="7">
        <f t="shared" ca="1" si="59"/>
        <v>316.66666666666663</v>
      </c>
      <c r="AK152" s="3" t="str">
        <f t="shared" ca="1" si="60"/>
        <v>N/A</v>
      </c>
      <c r="AL152" s="6" t="str">
        <f t="shared" ca="1" si="61"/>
        <v>N/A</v>
      </c>
      <c r="AM152" s="7">
        <f t="shared" ca="1" si="62"/>
        <v>1.2505552149377763E-12</v>
      </c>
      <c r="AN152" s="7">
        <f t="shared" ca="1" si="63"/>
        <v>10315.372245969013</v>
      </c>
      <c r="AO152" s="7">
        <f t="shared" si="64"/>
        <v>1125</v>
      </c>
    </row>
    <row r="153" spans="1:41" x14ac:dyDescent="0.2">
      <c r="A153">
        <f t="shared" si="65"/>
        <v>50</v>
      </c>
      <c r="B153" s="5">
        <f t="shared" si="66"/>
        <v>68.2</v>
      </c>
      <c r="C153" s="56">
        <f t="shared" si="67"/>
        <v>50771</v>
      </c>
      <c r="D153" s="57">
        <f ca="1">IF(AND(B152&lt;59.5,OR(B153&gt;59.5,B153=59.5)),(D152-E152+J152-K152)*(1+'Retirement Planning'!$J$23/12),(D152-E152)*(1+'Retirement Planning'!$J$23/12))</f>
        <v>338779.91479502147</v>
      </c>
      <c r="E153" s="58">
        <f t="shared" ca="1" si="54"/>
        <v>1010.9298537985596</v>
      </c>
      <c r="F153" s="57">
        <f ca="1">IF(AND(OR(B153&gt;59.5,B153=59.5),B152&lt;59.5),(F152-G152+L152-M152+N152-O152)*(1+'Retirement Planning'!$J$23/12),(F152-G152)*(1+'Retirement Planning'!$J$23/12))</f>
        <v>1259082.166271379</v>
      </c>
      <c r="G153" s="58">
        <f ca="1">IF(AND($B$10&lt;55,B153&lt;59.5),'Retirement Planning'!$J$25,IF(OR(B153&gt;59.5,B153=59.5),MAX(0,MIN(F153,IF(D153&lt;2500,((Y153+AJ153+AA153))-X153,((Y153+AJ153+AA153)*'Retirement Planning'!$J$44)-X153))),0))</f>
        <v>6767.4251615675794</v>
      </c>
      <c r="H153" s="255">
        <f>IF(MONTH(C153)=1,IF(B153&gt;69.5,F153/(INDEX('Retirement Planning'!D$1:D$264,(160+INT(B153))))/12,0),IF(F153=0,0,H152))</f>
        <v>0</v>
      </c>
      <c r="I153" s="262">
        <f t="shared" ca="1" si="55"/>
        <v>0</v>
      </c>
      <c r="J153" s="254">
        <f ca="1">IF(AND(B152&lt;59.5,OR(B153=59.5,B153&gt;59.5)),0,(J152-K152)*(1+'Retirement Planning'!$J$23/12))</f>
        <v>0</v>
      </c>
      <c r="K153" s="58">
        <f t="shared" ca="1" si="56"/>
        <v>0</v>
      </c>
      <c r="L153" s="57">
        <f>IF(AND(OR(B153&gt;59.5,B153=59.5),B152&lt;59.5),0,(L152-M152)*(1+'Retirement Planning'!$J$23/12))</f>
        <v>0</v>
      </c>
      <c r="M153" s="59">
        <f>IF(AND($B$10&lt;55,B153&lt;59.5),0,IF(B153&lt;59.5,MAX(0,MIN((($Y153+$AJ153+AA153)*'Retirement Planning'!$J$44)-$G153-$X153,L153)),0))</f>
        <v>0</v>
      </c>
      <c r="N153" s="57">
        <f ca="1">(N152-O152)*(1+'Retirement Planning'!$J$23/12)</f>
        <v>0</v>
      </c>
      <c r="O153" s="59">
        <f ca="1">IF(B153&gt;59.5,MAX(0,MIN((AA153+$Y153+$AJ153)*(IF(D153&lt;(MIN(E141:E152)+1),1,'Retirement Planning'!$J$44))-M153-$G153-$X153-(IF(D153&lt;(MIN(E141:E152)+1),D153,0)),N153)),0)</f>
        <v>0</v>
      </c>
      <c r="P153" s="57">
        <f t="shared" si="68"/>
        <v>0</v>
      </c>
      <c r="Q153" s="58">
        <f t="shared" si="69"/>
        <v>0</v>
      </c>
      <c r="R153" s="57">
        <f ca="1">(R152-S152-T152)*(1+'Retirement Planning'!$J$23/12)</f>
        <v>356534.21539636573</v>
      </c>
      <c r="S153" s="58">
        <f t="shared" ca="1" si="70"/>
        <v>808.33333333333337</v>
      </c>
      <c r="T153" s="273">
        <f t="shared" ca="1" si="57"/>
        <v>9.0949470177292824E-13</v>
      </c>
      <c r="U153" s="57">
        <f ca="1">(U152-V152)*(1+'Retirement Planning'!$J$23/12)</f>
        <v>281767.54658528249</v>
      </c>
      <c r="V153" s="24">
        <f ca="1">IF(AND($B$10&lt;55,B153&lt;59.5),MIN(U153,MAX(0,(Y153+AA153+AJ153-G153)*'Retirement Planning'!$J$45)),IF(B153&lt;59.5,(MIN(U153,MAX(0,((Y153+AA153+AJ153)-G153-M153)*'Retirement Planning'!$J$45))),MIN(U153,MAX(0,(Y153+AA153+AJ153-G153-M153-K153-X153)*'Retirement Planning'!$J$45))))</f>
        <v>861.16246805062542</v>
      </c>
      <c r="W153" s="7">
        <f t="shared" ca="1" si="58"/>
        <v>2236163.8430480487</v>
      </c>
      <c r="X153" s="7">
        <f>(IF(B153&gt;'Retirement Planning'!$J$34,IF('Retirement Planning'!$J$34=70,'Retirement Planning'!$J$37/12,IF('Retirement Planning'!$J$34=67,'Retirement Planning'!$J$36/12,'Retirement Planning'!$J$35/12)),0))*'Retirement Planning'!$J$38</f>
        <v>1213.6000000000001</v>
      </c>
      <c r="Y153" s="7">
        <f ca="1">'Retirement Planning'!$F$35*((1+'Retirement Planning'!$J$24)^(YEAR('Projected Retirement Drawdown'!C153)-YEAR(TODAY())))</f>
        <v>7844.755572573391</v>
      </c>
      <c r="Z153" s="7">
        <f ca="1">G153+M153+O153+0.85*X153+V153*'Retirement Planning'!$J$46+T153</f>
        <v>8272.6245189954243</v>
      </c>
      <c r="AA153" s="7">
        <f ca="1">IF(MONTH(C153)=1,(((MIN(MAX(0,((SUM(Z141:Z152)-'Retirement Planning'!$I$53-'Retirement Planning'!$I$54)-'Retirement Planning'!$J$51)*'Retirement Planning'!$I$52))))+(MIN(MAX(0,((SUM(Z141:Z152)-'Retirement Planning'!$I$53-'Retirement Planning'!$I$54)-'Retirement Planning'!$J$50)*'Retirement Planning'!$I$51),('Retirement Planning'!$J$51-'Retirement Planning'!$J$50)*'Retirement Planning'!$I$51))+(MIN(MAX(0,((SUM(Z141:Z152)-'Retirement Planning'!$I$53-'Retirement Planning'!$I$54)-'Retirement Planning'!$J$49)*'Retirement Planning'!$I$50),('Retirement Planning'!$J$50-'Retirement Planning'!$J$49)*'Retirement Planning'!$I$50)+MIN(MAX(0,((SUM(Z141:Z152)-'Retirement Planning'!$I$53-'Retirement Planning'!$I$54)-'Retirement Planning'!$J$48)*'Retirement Planning'!$I$49),('Retirement Planning'!$J$49-'Retirement Planning'!$J$48)*'Retirement Planning'!$I$49)+MIN(((SUM(Z141:Z152)-'Retirement Planning'!$I$53-'Retirement Planning'!$I$54))*'Retirement Planning'!$I$48,('Retirement Planning'!$J$48)*'Retirement Planning'!$I$48))+(IF((SUM(Z141:Z152)-'Retirement Planning'!$I$54-'Retirement Planning'!$I$61)&gt;'Retirement Planning'!$J$59,(SUM(Z141:Z152)-'Retirement Planning'!$I$54-'Retirement Planning'!$I$61-'Retirement Planning'!$J$59)*'Retirement Planning'!$I$60+'Retirement Planning'!$K$59,IF((SUM(Z141:Z152)-'Retirement Planning'!$I$54-'Retirement Planning'!$I$61)&gt;'Retirement Planning'!$J$58,(SUM(Z141:Z152)-'Retirement Planning'!$I$54-'Retirement Planning'!$I$61-'Retirement Planning'!$J$58)*'Retirement Planning'!$I$59+'Retirement Planning'!$K$58,IF((SUM(Z141:Z152)-'Retirement Planning'!$I$54-'Retirement Planning'!$I$61)&gt;'Retirement Planning'!$J$57,(SUM(Z141:Z152)-'Retirement Planning'!$I$54-'Retirement Planning'!$I$61-'Retirement Planning'!$J$57)*'Retirement Planning'!$I$58+'Retirement Planning'!$K$57,IF((SUM(Z141:Z152)-'Retirement Planning'!$I$54-'Retirement Planning'!$I$61)&gt;'Retirement Planning'!$J$56,(SUM(Z141:Z152)-'Retirement Planning'!$I$54-'Retirement Planning'!$I$61-'Retirement Planning'!$J$56)*'Retirement Planning'!$I$57+'Retirement Planning'!$K$56,(SUM(Z141:Z152)-'Retirement Planning'!$I$54-'Retirement Planning'!$I$61)*'Retirement Planning'!$I$56))))))/12,AA152)</f>
        <v>1691.6952441767078</v>
      </c>
      <c r="AB153" s="104">
        <f t="shared" ref="AB153" ca="1" si="73">SUM(AA153:AA164)/SUM(Z141:Z152)</f>
        <v>0.21210711203132804</v>
      </c>
      <c r="AC153" s="7">
        <f>IF(B153&lt;65,'Retirement Planning'!$J$28,0)</f>
        <v>0</v>
      </c>
      <c r="AD153" s="7">
        <f>IF(B153&lt;65,'Retirement Planning'!$J$29/12,0)</f>
        <v>0</v>
      </c>
      <c r="AE153" s="22">
        <f>'Retirement Planning'!$J$31/12</f>
        <v>58.333333333333336</v>
      </c>
      <c r="AF153" s="22">
        <f>'Retirement Planning'!$J$32/12</f>
        <v>66.666666666666671</v>
      </c>
      <c r="AG153" s="7">
        <f>IF($B153&gt;64.9,'Retirement Planning'!$J$39/12,0)</f>
        <v>183.33333333333334</v>
      </c>
      <c r="AH153" s="7">
        <f>IF($B153&gt;64.9,'Retirement Planning'!$J$40/12,0)</f>
        <v>258.33333333333331</v>
      </c>
      <c r="AI153" s="7">
        <f>IF($B153&gt;64.9,'Retirement Planning'!$J$41/12,0)</f>
        <v>558.33333333333337</v>
      </c>
      <c r="AJ153" s="7">
        <f t="shared" ca="1" si="59"/>
        <v>316.66666666666663</v>
      </c>
      <c r="AK153" s="3" t="str">
        <f t="shared" ca="1" si="60"/>
        <v>N/A</v>
      </c>
      <c r="AL153" s="6" t="str">
        <f t="shared" ca="1" si="61"/>
        <v>N/A</v>
      </c>
      <c r="AM153" s="7">
        <f t="shared" ca="1" si="62"/>
        <v>1.1368683772161603E-12</v>
      </c>
      <c r="AN153" s="7">
        <f t="shared" ca="1" si="63"/>
        <v>10661.450816750099</v>
      </c>
      <c r="AO153" s="7">
        <f t="shared" si="64"/>
        <v>1125</v>
      </c>
    </row>
    <row r="154" spans="1:41" x14ac:dyDescent="0.2">
      <c r="A154">
        <f t="shared" si="65"/>
        <v>50</v>
      </c>
      <c r="B154" s="5">
        <f t="shared" si="66"/>
        <v>68.3</v>
      </c>
      <c r="C154" s="56">
        <f t="shared" si="67"/>
        <v>50802</v>
      </c>
      <c r="D154" s="57">
        <f ca="1">IF(AND(B153&lt;59.5,OR(B154&gt;59.5,B154=59.5)),(D153-E153+J153-K153)*(1+'Retirement Planning'!$J$23/12),(D153-E153)*(1+'Retirement Planning'!$J$23/12))</f>
        <v>340161.51525122329</v>
      </c>
      <c r="E154" s="58">
        <f t="shared" ca="1" si="54"/>
        <v>1010.9298537985596</v>
      </c>
      <c r="F154" s="57">
        <f ca="1">IF(AND(OR(B154&gt;59.5,B154=59.5),B153&lt;59.5),(F153-G153+L153-M153+N153-O153)*(1+'Retirement Planning'!$J$23/12),(F153-G153)*(1+'Retirement Planning'!$J$23/12))</f>
        <v>1261185.3038593393</v>
      </c>
      <c r="G154" s="58">
        <f ca="1">IF(AND($B$10&lt;55,B154&lt;59.5),'Retirement Planning'!$J$25,IF(OR(B154&gt;59.5,B154=59.5),MAX(0,MIN(F154,IF(D154&lt;2500,((Y154+AJ154+AA154))-X154,((Y154+AJ154+AA154)*'Retirement Planning'!$J$44)-X154))),0))</f>
        <v>6767.4251615675794</v>
      </c>
      <c r="H154" s="255">
        <f ca="1">IF(MONTH(C154)=1,IF(B154&gt;69.5,F154/(INDEX('Retirement Planning'!D$1:D$264,(160+INT(B154))))/12,0),IF(F154=0,0,H153))</f>
        <v>0</v>
      </c>
      <c r="I154" s="262">
        <f t="shared" ca="1" si="55"/>
        <v>0</v>
      </c>
      <c r="J154" s="254">
        <f ca="1">IF(AND(B153&lt;59.5,OR(B154=59.5,B154&gt;59.5)),0,(J153-K153)*(1+'Retirement Planning'!$J$23/12))</f>
        <v>0</v>
      </c>
      <c r="K154" s="58">
        <f t="shared" ca="1" si="56"/>
        <v>0</v>
      </c>
      <c r="L154" s="57">
        <f>IF(AND(OR(B154&gt;59.5,B154=59.5),B153&lt;59.5),0,(L153-M153)*(1+'Retirement Planning'!$J$23/12))</f>
        <v>0</v>
      </c>
      <c r="M154" s="59">
        <f>IF(AND($B$10&lt;55,B154&lt;59.5),0,IF(B154&lt;59.5,MAX(0,MIN((($Y154+$AJ154+AA154)*'Retirement Planning'!$J$44)-$G154-$X154,L154)),0))</f>
        <v>0</v>
      </c>
      <c r="N154" s="57">
        <f ca="1">(N153-O153)*(1+'Retirement Planning'!$J$23/12)</f>
        <v>0</v>
      </c>
      <c r="O154" s="59">
        <f ca="1">IF(B154&gt;59.5,MAX(0,MIN((AA154+$Y154+$AJ154)*(IF(D154&lt;(MIN(E142:E153)+1),1,'Retirement Planning'!$J$44))-M154-$G154-$X154-(IF(D154&lt;(MIN(E142:E153)+1),D154,0)),N154)),0)</f>
        <v>0</v>
      </c>
      <c r="P154" s="57">
        <f t="shared" si="68"/>
        <v>0</v>
      </c>
      <c r="Q154" s="58">
        <f t="shared" si="69"/>
        <v>0</v>
      </c>
      <c r="R154" s="57">
        <f ca="1">(R153-S153-T153)*(1+'Retirement Planning'!$J$23/12)</f>
        <v>358245.60706097889</v>
      </c>
      <c r="S154" s="58">
        <f t="shared" ca="1" si="70"/>
        <v>808.33333333333337</v>
      </c>
      <c r="T154" s="273">
        <f t="shared" ca="1" si="57"/>
        <v>9.0949470177292824E-13</v>
      </c>
      <c r="U154" s="57">
        <f ca="1">(U153-V153)*(1+'Retirement Planning'!$J$23/12)</f>
        <v>282896.13767139561</v>
      </c>
      <c r="V154" s="24">
        <f ca="1">IF(AND($B$10&lt;55,B154&lt;59.5),MIN(U154,MAX(0,(Y154+AA154+AJ154-G154)*'Retirement Planning'!$J$45)),IF(B154&lt;59.5,(MIN(U154,MAX(0,((Y154+AA154+AJ154)-G154-M154)*'Retirement Planning'!$J$45))),MIN(U154,MAX(0,(Y154+AA154+AJ154-G154-M154-K154-X154)*'Retirement Planning'!$J$45))))</f>
        <v>861.16246805062542</v>
      </c>
      <c r="W154" s="7">
        <f t="shared" ca="1" si="58"/>
        <v>2242488.5638429369</v>
      </c>
      <c r="X154" s="7">
        <f>(IF(B154&gt;'Retirement Planning'!$J$34,IF('Retirement Planning'!$J$34=70,'Retirement Planning'!$J$37/12,IF('Retirement Planning'!$J$34=67,'Retirement Planning'!$J$36/12,'Retirement Planning'!$J$35/12)),0))*'Retirement Planning'!$J$38</f>
        <v>1213.6000000000001</v>
      </c>
      <c r="Y154" s="7">
        <f ca="1">'Retirement Planning'!$F$35*((1+'Retirement Planning'!$J$24)^(YEAR('Projected Retirement Drawdown'!C154)-YEAR(TODAY())))</f>
        <v>7844.755572573391</v>
      </c>
      <c r="Z154" s="7">
        <f ca="1">G154+M154+O154+0.85*X154+V154*'Retirement Planning'!$J$46+T154</f>
        <v>8272.6245189954243</v>
      </c>
      <c r="AA154" s="7">
        <f ca="1">IF(MONTH(C154)=1,(((MIN(MAX(0,((SUM(Z142:Z153)-'Retirement Planning'!$I$53-'Retirement Planning'!$I$54)-'Retirement Planning'!$J$51)*'Retirement Planning'!$I$52))))+(MIN(MAX(0,((SUM(Z142:Z153)-'Retirement Planning'!$I$53-'Retirement Planning'!$I$54)-'Retirement Planning'!$J$50)*'Retirement Planning'!$I$51),('Retirement Planning'!$J$51-'Retirement Planning'!$J$50)*'Retirement Planning'!$I$51))+(MIN(MAX(0,((SUM(Z142:Z153)-'Retirement Planning'!$I$53-'Retirement Planning'!$I$54)-'Retirement Planning'!$J$49)*'Retirement Planning'!$I$50),('Retirement Planning'!$J$50-'Retirement Planning'!$J$49)*'Retirement Planning'!$I$50)+MIN(MAX(0,((SUM(Z142:Z153)-'Retirement Planning'!$I$53-'Retirement Planning'!$I$54)-'Retirement Planning'!$J$48)*'Retirement Planning'!$I$49),('Retirement Planning'!$J$49-'Retirement Planning'!$J$48)*'Retirement Planning'!$I$49)+MIN(((SUM(Z142:Z153)-'Retirement Planning'!$I$53-'Retirement Planning'!$I$54))*'Retirement Planning'!$I$48,('Retirement Planning'!$J$48)*'Retirement Planning'!$I$48))+(IF((SUM(Z142:Z153)-'Retirement Planning'!$I$54-'Retirement Planning'!$I$61)&gt;'Retirement Planning'!$J$59,(SUM(Z142:Z153)-'Retirement Planning'!$I$54-'Retirement Planning'!$I$61-'Retirement Planning'!$J$59)*'Retirement Planning'!$I$60+'Retirement Planning'!$K$59,IF((SUM(Z142:Z153)-'Retirement Planning'!$I$54-'Retirement Planning'!$I$61)&gt;'Retirement Planning'!$J$58,(SUM(Z142:Z153)-'Retirement Planning'!$I$54-'Retirement Planning'!$I$61-'Retirement Planning'!$J$58)*'Retirement Planning'!$I$59+'Retirement Planning'!$K$58,IF((SUM(Z142:Z153)-'Retirement Planning'!$I$54-'Retirement Planning'!$I$61)&gt;'Retirement Planning'!$J$57,(SUM(Z142:Z153)-'Retirement Planning'!$I$54-'Retirement Planning'!$I$61-'Retirement Planning'!$J$57)*'Retirement Planning'!$I$58+'Retirement Planning'!$K$57,IF((SUM(Z142:Z153)-'Retirement Planning'!$I$54-'Retirement Planning'!$I$61)&gt;'Retirement Planning'!$J$56,(SUM(Z142:Z153)-'Retirement Planning'!$I$54-'Retirement Planning'!$I$61-'Retirement Planning'!$J$56)*'Retirement Planning'!$I$57+'Retirement Planning'!$K$56,(SUM(Z142:Z153)-'Retirement Planning'!$I$54-'Retirement Planning'!$I$61)*'Retirement Planning'!$I$56))))))/12,AA153)</f>
        <v>1691.6952441767078</v>
      </c>
      <c r="AB154" s="104">
        <f t="shared" ref="AB154:AB217" ca="1" si="74">AB153</f>
        <v>0.21210711203132804</v>
      </c>
      <c r="AC154" s="7">
        <f>IF(B154&lt;65,'Retirement Planning'!$J$28,0)</f>
        <v>0</v>
      </c>
      <c r="AD154" s="7">
        <f>IF(B154&lt;65,'Retirement Planning'!$J$29/12,0)</f>
        <v>0</v>
      </c>
      <c r="AE154" s="22">
        <f>'Retirement Planning'!$J$31/12</f>
        <v>58.333333333333336</v>
      </c>
      <c r="AF154" s="22">
        <f>'Retirement Planning'!$J$32/12</f>
        <v>66.666666666666671</v>
      </c>
      <c r="AG154" s="7">
        <f>IF($B154&gt;64.9,'Retirement Planning'!$J$39/12,0)</f>
        <v>183.33333333333334</v>
      </c>
      <c r="AH154" s="7">
        <f>IF($B154&gt;64.9,'Retirement Planning'!$J$40/12,0)</f>
        <v>258.33333333333331</v>
      </c>
      <c r="AI154" s="7">
        <f>IF($B154&gt;64.9,'Retirement Planning'!$J$41/12,0)</f>
        <v>558.33333333333337</v>
      </c>
      <c r="AJ154" s="7">
        <f t="shared" ca="1" si="59"/>
        <v>316.66666666666663</v>
      </c>
      <c r="AK154" s="3" t="str">
        <f t="shared" ca="1" si="60"/>
        <v>N/A</v>
      </c>
      <c r="AL154" s="6" t="str">
        <f t="shared" ca="1" si="61"/>
        <v>N/A</v>
      </c>
      <c r="AM154" s="7">
        <f t="shared" ca="1" si="62"/>
        <v>1.1368683772161603E-12</v>
      </c>
      <c r="AN154" s="7">
        <f t="shared" ca="1" si="63"/>
        <v>10661.450816750099</v>
      </c>
      <c r="AO154" s="7">
        <f t="shared" si="64"/>
        <v>1125</v>
      </c>
    </row>
    <row r="155" spans="1:41" x14ac:dyDescent="0.2">
      <c r="A155">
        <f t="shared" si="65"/>
        <v>50</v>
      </c>
      <c r="B155" s="5">
        <f t="shared" si="66"/>
        <v>68.400000000000006</v>
      </c>
      <c r="C155" s="56">
        <f t="shared" si="67"/>
        <v>50830</v>
      </c>
      <c r="D155" s="57">
        <f ca="1">IF(AND(B154&lt;59.5,OR(B155&gt;59.5,B155=59.5)),(D154-E154+J154-K154)*(1+'Retirement Planning'!$J$23/12),(D154-E154)*(1+'Retirement Planning'!$J$23/12))</f>
        <v>341552.90204398986</v>
      </c>
      <c r="E155" s="58">
        <f t="shared" ca="1" si="54"/>
        <v>1010.9298537985596</v>
      </c>
      <c r="F155" s="57">
        <f ca="1">IF(AND(OR(B155&gt;59.5,B155=59.5),B154&lt;59.5),(F154-G154+L154-M154+N154-O154)*(1+'Retirement Planning'!$J$23/12),(F154-G154)*(1+'Retirement Planning'!$J$23/12))</f>
        <v>1263303.338671881</v>
      </c>
      <c r="G155" s="58">
        <f ca="1">IF(AND($B$10&lt;55,B155&lt;59.5),'Retirement Planning'!$J$25,IF(OR(B155&gt;59.5,B155=59.5),MAX(0,MIN(F155,IF(D155&lt;2500,((Y155+AJ155+AA155))-X155,((Y155+AJ155+AA155)*'Retirement Planning'!$J$44)-X155))),0))</f>
        <v>6767.4251615675794</v>
      </c>
      <c r="H155" s="255">
        <f ca="1">IF(MONTH(C155)=1,IF(B155&gt;69.5,F155/(INDEX('Retirement Planning'!D$1:D$264,(160+INT(B155))))/12,0),IF(F155=0,0,H154))</f>
        <v>0</v>
      </c>
      <c r="I155" s="262">
        <f t="shared" ca="1" si="55"/>
        <v>0</v>
      </c>
      <c r="J155" s="254">
        <f ca="1">IF(AND(B154&lt;59.5,OR(B155=59.5,B155&gt;59.5)),0,(J154-K154)*(1+'Retirement Planning'!$J$23/12))</f>
        <v>0</v>
      </c>
      <c r="K155" s="58">
        <f t="shared" ca="1" si="56"/>
        <v>0</v>
      </c>
      <c r="L155" s="57">
        <f>IF(AND(OR(B155&gt;59.5,B155=59.5),B154&lt;59.5),0,(L154-M154)*(1+'Retirement Planning'!$J$23/12))</f>
        <v>0</v>
      </c>
      <c r="M155" s="59">
        <f>IF(AND($B$10&lt;55,B155&lt;59.5),0,IF(B155&lt;59.5,MAX(0,MIN((($Y155+$AJ155+AA155)*'Retirement Planning'!$J$44)-$G155-$X155,L155)),0))</f>
        <v>0</v>
      </c>
      <c r="N155" s="57">
        <f ca="1">(N154-O154)*(1+'Retirement Planning'!$J$23/12)</f>
        <v>0</v>
      </c>
      <c r="O155" s="59">
        <f ca="1">IF(B155&gt;59.5,MAX(0,MIN((AA155+$Y155+$AJ155)*(IF(D155&lt;(MIN(E143:E154)+1),1,'Retirement Planning'!$J$44))-M155-$G155-$X155-(IF(D155&lt;(MIN(E143:E154)+1),D155,0)),N155)),0)</f>
        <v>0</v>
      </c>
      <c r="P155" s="57">
        <f t="shared" si="68"/>
        <v>0</v>
      </c>
      <c r="Q155" s="58">
        <f t="shared" si="69"/>
        <v>0</v>
      </c>
      <c r="R155" s="57">
        <f ca="1">(R154-S154-T154)*(1+'Retirement Planning'!$J$23/12)</f>
        <v>359969.12108321639</v>
      </c>
      <c r="S155" s="58">
        <f t="shared" ca="1" si="70"/>
        <v>808.33333333333337</v>
      </c>
      <c r="T155" s="273">
        <f t="shared" ca="1" si="57"/>
        <v>9.0949470177292824E-13</v>
      </c>
      <c r="U155" s="57">
        <f ca="1">(U154-V154)*(1+'Retirement Planning'!$J$23/12)</f>
        <v>284032.72294436872</v>
      </c>
      <c r="V155" s="24">
        <f ca="1">IF(AND($B$10&lt;55,B155&lt;59.5),MIN(U155,MAX(0,(Y155+AA155+AJ155-G155)*'Retirement Planning'!$J$45)),IF(B155&lt;59.5,(MIN(U155,MAX(0,((Y155+AA155+AJ155)-G155-M155)*'Retirement Planning'!$J$45))),MIN(U155,MAX(0,(Y155+AA155+AJ155-G155-M155-K155-X155)*'Retirement Planning'!$J$45))))</f>
        <v>861.16246805062542</v>
      </c>
      <c r="W155" s="7">
        <f t="shared" ca="1" si="58"/>
        <v>2248858.084743456</v>
      </c>
      <c r="X155" s="7">
        <f>(IF(B155&gt;'Retirement Planning'!$J$34,IF('Retirement Planning'!$J$34=70,'Retirement Planning'!$J$37/12,IF('Retirement Planning'!$J$34=67,'Retirement Planning'!$J$36/12,'Retirement Planning'!$J$35/12)),0))*'Retirement Planning'!$J$38</f>
        <v>1213.6000000000001</v>
      </c>
      <c r="Y155" s="7">
        <f ca="1">'Retirement Planning'!$F$35*((1+'Retirement Planning'!$J$24)^(YEAR('Projected Retirement Drawdown'!C155)-YEAR(TODAY())))</f>
        <v>7844.755572573391</v>
      </c>
      <c r="Z155" s="7">
        <f ca="1">G155+M155+O155+0.85*X155+V155*'Retirement Planning'!$J$46+T155</f>
        <v>8272.6245189954243</v>
      </c>
      <c r="AA155" s="7">
        <f ca="1">IF(MONTH(C155)=1,(((MIN(MAX(0,((SUM(Z143:Z154)-'Retirement Planning'!$I$53-'Retirement Planning'!$I$54)-'Retirement Planning'!$J$51)*'Retirement Planning'!$I$52))))+(MIN(MAX(0,((SUM(Z143:Z154)-'Retirement Planning'!$I$53-'Retirement Planning'!$I$54)-'Retirement Planning'!$J$50)*'Retirement Planning'!$I$51),('Retirement Planning'!$J$51-'Retirement Planning'!$J$50)*'Retirement Planning'!$I$51))+(MIN(MAX(0,((SUM(Z143:Z154)-'Retirement Planning'!$I$53-'Retirement Planning'!$I$54)-'Retirement Planning'!$J$49)*'Retirement Planning'!$I$50),('Retirement Planning'!$J$50-'Retirement Planning'!$J$49)*'Retirement Planning'!$I$50)+MIN(MAX(0,((SUM(Z143:Z154)-'Retirement Planning'!$I$53-'Retirement Planning'!$I$54)-'Retirement Planning'!$J$48)*'Retirement Planning'!$I$49),('Retirement Planning'!$J$49-'Retirement Planning'!$J$48)*'Retirement Planning'!$I$49)+MIN(((SUM(Z143:Z154)-'Retirement Planning'!$I$53-'Retirement Planning'!$I$54))*'Retirement Planning'!$I$48,('Retirement Planning'!$J$48)*'Retirement Planning'!$I$48))+(IF((SUM(Z143:Z154)-'Retirement Planning'!$I$54-'Retirement Planning'!$I$61)&gt;'Retirement Planning'!$J$59,(SUM(Z143:Z154)-'Retirement Planning'!$I$54-'Retirement Planning'!$I$61-'Retirement Planning'!$J$59)*'Retirement Planning'!$I$60+'Retirement Planning'!$K$59,IF((SUM(Z143:Z154)-'Retirement Planning'!$I$54-'Retirement Planning'!$I$61)&gt;'Retirement Planning'!$J$58,(SUM(Z143:Z154)-'Retirement Planning'!$I$54-'Retirement Planning'!$I$61-'Retirement Planning'!$J$58)*'Retirement Planning'!$I$59+'Retirement Planning'!$K$58,IF((SUM(Z143:Z154)-'Retirement Planning'!$I$54-'Retirement Planning'!$I$61)&gt;'Retirement Planning'!$J$57,(SUM(Z143:Z154)-'Retirement Planning'!$I$54-'Retirement Planning'!$I$61-'Retirement Planning'!$J$57)*'Retirement Planning'!$I$58+'Retirement Planning'!$K$57,IF((SUM(Z143:Z154)-'Retirement Planning'!$I$54-'Retirement Planning'!$I$61)&gt;'Retirement Planning'!$J$56,(SUM(Z143:Z154)-'Retirement Planning'!$I$54-'Retirement Planning'!$I$61-'Retirement Planning'!$J$56)*'Retirement Planning'!$I$57+'Retirement Planning'!$K$56,(SUM(Z143:Z154)-'Retirement Planning'!$I$54-'Retirement Planning'!$I$61)*'Retirement Planning'!$I$56))))))/12,AA154)</f>
        <v>1691.6952441767078</v>
      </c>
      <c r="AB155" s="104">
        <f t="shared" ca="1" si="49"/>
        <v>0.21210711203132804</v>
      </c>
      <c r="AC155" s="7">
        <f>IF(B155&lt;65,'Retirement Planning'!$J$28,0)</f>
        <v>0</v>
      </c>
      <c r="AD155" s="7">
        <f>IF(B155&lt;65,'Retirement Planning'!$J$29/12,0)</f>
        <v>0</v>
      </c>
      <c r="AE155" s="22">
        <f>'Retirement Planning'!$J$31/12</f>
        <v>58.333333333333336</v>
      </c>
      <c r="AF155" s="22">
        <f>'Retirement Planning'!$J$32/12</f>
        <v>66.666666666666671</v>
      </c>
      <c r="AG155" s="7">
        <f>IF($B155&gt;64.9,'Retirement Planning'!$J$39/12,0)</f>
        <v>183.33333333333334</v>
      </c>
      <c r="AH155" s="7">
        <f>IF($B155&gt;64.9,'Retirement Planning'!$J$40/12,0)</f>
        <v>258.33333333333331</v>
      </c>
      <c r="AI155" s="7">
        <f>IF($B155&gt;64.9,'Retirement Planning'!$J$41/12,0)</f>
        <v>558.33333333333337</v>
      </c>
      <c r="AJ155" s="7">
        <f t="shared" ca="1" si="59"/>
        <v>316.66666666666663</v>
      </c>
      <c r="AK155" s="3" t="str">
        <f t="shared" ca="1" si="60"/>
        <v>N/A</v>
      </c>
      <c r="AL155" s="6" t="str">
        <f t="shared" ca="1" si="61"/>
        <v>N/A</v>
      </c>
      <c r="AM155" s="7">
        <f t="shared" ca="1" si="62"/>
        <v>1.1368683772161603E-12</v>
      </c>
      <c r="AN155" s="7">
        <f t="shared" ca="1" si="63"/>
        <v>10661.450816750099</v>
      </c>
      <c r="AO155" s="7">
        <f t="shared" si="64"/>
        <v>1125</v>
      </c>
    </row>
    <row r="156" spans="1:41" x14ac:dyDescent="0.2">
      <c r="A156">
        <f t="shared" si="65"/>
        <v>50</v>
      </c>
      <c r="B156" s="5">
        <f t="shared" si="66"/>
        <v>68.5</v>
      </c>
      <c r="C156" s="56">
        <f t="shared" si="67"/>
        <v>50861</v>
      </c>
      <c r="D156" s="57">
        <f ca="1">IF(AND(B155&lt;59.5,OR(B156&gt;59.5,B156=59.5)),(D155-E155+J155-K155)*(1+'Retirement Planning'!$J$23/12),(D155-E155)*(1+'Retirement Planning'!$J$23/12))</f>
        <v>342954.14449320512</v>
      </c>
      <c r="E156" s="58">
        <f t="shared" ca="1" si="54"/>
        <v>1010.9298537985596</v>
      </c>
      <c r="F156" s="57">
        <f ca="1">IF(AND(OR(B156&gt;59.5,B156=59.5),B155&lt;59.5),(F155-G155+L155-M155+N155-O155)*(1+'Retirement Planning'!$J$23/12),(F155-G155)*(1+'Retirement Planning'!$J$23/12))</f>
        <v>1265436.3762310115</v>
      </c>
      <c r="G156" s="58">
        <f ca="1">IF(AND($B$10&lt;55,B156&lt;59.5),'Retirement Planning'!$J$25,IF(OR(B156&gt;59.5,B156=59.5),MAX(0,MIN(F156,IF(D156&lt;2500,((Y156+AJ156+AA156))-X156,((Y156+AJ156+AA156)*'Retirement Planning'!$J$44)-X156))),0))</f>
        <v>6767.4251615675794</v>
      </c>
      <c r="H156" s="255">
        <f ca="1">IF(MONTH(C156)=1,IF(B156&gt;69.5,F156/(INDEX('Retirement Planning'!D$1:D$264,(160+INT(B156))))/12,0),IF(F156=0,0,H155))</f>
        <v>0</v>
      </c>
      <c r="I156" s="262">
        <f t="shared" ca="1" si="55"/>
        <v>0</v>
      </c>
      <c r="J156" s="254">
        <f ca="1">IF(AND(B155&lt;59.5,OR(B156=59.5,B156&gt;59.5)),0,(J155-K155)*(1+'Retirement Planning'!$J$23/12))</f>
        <v>0</v>
      </c>
      <c r="K156" s="58">
        <f t="shared" ca="1" si="56"/>
        <v>0</v>
      </c>
      <c r="L156" s="57">
        <f>IF(AND(OR(B156&gt;59.5,B156=59.5),B155&lt;59.5),0,(L155-M155)*(1+'Retirement Planning'!$J$23/12))</f>
        <v>0</v>
      </c>
      <c r="M156" s="59">
        <f>IF(AND($B$10&lt;55,B156&lt;59.5),0,IF(B156&lt;59.5,MAX(0,MIN((($Y156+$AJ156+AA156)*'Retirement Planning'!$J$44)-$G156-$X156,L156)),0))</f>
        <v>0</v>
      </c>
      <c r="N156" s="57">
        <f ca="1">(N155-O155)*(1+'Retirement Planning'!$J$23/12)</f>
        <v>0</v>
      </c>
      <c r="O156" s="59">
        <f ca="1">IF(B156&gt;59.5,MAX(0,MIN((AA156+$Y156+$AJ156)*(IF(D156&lt;(MIN(E144:E155)+1),1,'Retirement Planning'!$J$44))-M156-$G156-$X156-(IF(D156&lt;(MIN(E144:E155)+1),D156,0)),N156)),0)</f>
        <v>0</v>
      </c>
      <c r="P156" s="57">
        <f t="shared" si="68"/>
        <v>0</v>
      </c>
      <c r="Q156" s="58">
        <f t="shared" si="69"/>
        <v>0</v>
      </c>
      <c r="R156" s="57">
        <f ca="1">(R155-S155-T155)*(1+'Retirement Planning'!$J$23/12)</f>
        <v>361704.84332977806</v>
      </c>
      <c r="S156" s="58">
        <f t="shared" ca="1" si="70"/>
        <v>808.33333333333337</v>
      </c>
      <c r="T156" s="273">
        <f t="shared" ca="1" si="57"/>
        <v>9.0949470177292824E-13</v>
      </c>
      <c r="U156" s="57">
        <f ca="1">(U155-V155)*(1+'Retirement Planning'!$J$23/12)</f>
        <v>285177.35902969202</v>
      </c>
      <c r="V156" s="24">
        <f ca="1">IF(AND($B$10&lt;55,B156&lt;59.5),MIN(U156,MAX(0,(Y156+AA156+AJ156-G156)*'Retirement Planning'!$J$45)),IF(B156&lt;59.5,(MIN(U156,MAX(0,((Y156+AA156+AJ156)-G156-M156)*'Retirement Planning'!$J$45))),MIN(U156,MAX(0,(Y156+AA156+AJ156-G156-M156-K156-X156)*'Retirement Planning'!$J$45))))</f>
        <v>861.16246805062542</v>
      </c>
      <c r="W156" s="7">
        <f t="shared" ca="1" si="58"/>
        <v>2255272.7230836865</v>
      </c>
      <c r="X156" s="7">
        <f>(IF(B156&gt;'Retirement Planning'!$J$34,IF('Retirement Planning'!$J$34=70,'Retirement Planning'!$J$37/12,IF('Retirement Planning'!$J$34=67,'Retirement Planning'!$J$36/12,'Retirement Planning'!$J$35/12)),0))*'Retirement Planning'!$J$38</f>
        <v>1213.6000000000001</v>
      </c>
      <c r="Y156" s="7">
        <f ca="1">'Retirement Planning'!$F$35*((1+'Retirement Planning'!$J$24)^(YEAR('Projected Retirement Drawdown'!C156)-YEAR(TODAY())))</f>
        <v>7844.755572573391</v>
      </c>
      <c r="Z156" s="7">
        <f ca="1">G156+M156+O156+0.85*X156+V156*'Retirement Planning'!$J$46+T156</f>
        <v>8272.6245189954243</v>
      </c>
      <c r="AA156" s="7">
        <f ca="1">IF(MONTH(C156)=1,(((MIN(MAX(0,((SUM(Z144:Z155)-'Retirement Planning'!$I$53-'Retirement Planning'!$I$54)-'Retirement Planning'!$J$51)*'Retirement Planning'!$I$52))))+(MIN(MAX(0,((SUM(Z144:Z155)-'Retirement Planning'!$I$53-'Retirement Planning'!$I$54)-'Retirement Planning'!$J$50)*'Retirement Planning'!$I$51),('Retirement Planning'!$J$51-'Retirement Planning'!$J$50)*'Retirement Planning'!$I$51))+(MIN(MAX(0,((SUM(Z144:Z155)-'Retirement Planning'!$I$53-'Retirement Planning'!$I$54)-'Retirement Planning'!$J$49)*'Retirement Planning'!$I$50),('Retirement Planning'!$J$50-'Retirement Planning'!$J$49)*'Retirement Planning'!$I$50)+MIN(MAX(0,((SUM(Z144:Z155)-'Retirement Planning'!$I$53-'Retirement Planning'!$I$54)-'Retirement Planning'!$J$48)*'Retirement Planning'!$I$49),('Retirement Planning'!$J$49-'Retirement Planning'!$J$48)*'Retirement Planning'!$I$49)+MIN(((SUM(Z144:Z155)-'Retirement Planning'!$I$53-'Retirement Planning'!$I$54))*'Retirement Planning'!$I$48,('Retirement Planning'!$J$48)*'Retirement Planning'!$I$48))+(IF((SUM(Z144:Z155)-'Retirement Planning'!$I$54-'Retirement Planning'!$I$61)&gt;'Retirement Planning'!$J$59,(SUM(Z144:Z155)-'Retirement Planning'!$I$54-'Retirement Planning'!$I$61-'Retirement Planning'!$J$59)*'Retirement Planning'!$I$60+'Retirement Planning'!$K$59,IF((SUM(Z144:Z155)-'Retirement Planning'!$I$54-'Retirement Planning'!$I$61)&gt;'Retirement Planning'!$J$58,(SUM(Z144:Z155)-'Retirement Planning'!$I$54-'Retirement Planning'!$I$61-'Retirement Planning'!$J$58)*'Retirement Planning'!$I$59+'Retirement Planning'!$K$58,IF((SUM(Z144:Z155)-'Retirement Planning'!$I$54-'Retirement Planning'!$I$61)&gt;'Retirement Planning'!$J$57,(SUM(Z144:Z155)-'Retirement Planning'!$I$54-'Retirement Planning'!$I$61-'Retirement Planning'!$J$57)*'Retirement Planning'!$I$58+'Retirement Planning'!$K$57,IF((SUM(Z144:Z155)-'Retirement Planning'!$I$54-'Retirement Planning'!$I$61)&gt;'Retirement Planning'!$J$56,(SUM(Z144:Z155)-'Retirement Planning'!$I$54-'Retirement Planning'!$I$61-'Retirement Planning'!$J$56)*'Retirement Planning'!$I$57+'Retirement Planning'!$K$56,(SUM(Z144:Z155)-'Retirement Planning'!$I$54-'Retirement Planning'!$I$61)*'Retirement Planning'!$I$56))))))/12,AA155)</f>
        <v>1691.6952441767078</v>
      </c>
      <c r="AB156" s="104">
        <f t="shared" ca="1" si="49"/>
        <v>0.21210711203132804</v>
      </c>
      <c r="AC156" s="7">
        <f>IF(B156&lt;65,'Retirement Planning'!$J$28,0)</f>
        <v>0</v>
      </c>
      <c r="AD156" s="7">
        <f>IF(B156&lt;65,'Retirement Planning'!$J$29/12,0)</f>
        <v>0</v>
      </c>
      <c r="AE156" s="22">
        <f>'Retirement Planning'!$J$31/12</f>
        <v>58.333333333333336</v>
      </c>
      <c r="AF156" s="22">
        <f>'Retirement Planning'!$J$32/12</f>
        <v>66.666666666666671</v>
      </c>
      <c r="AG156" s="7">
        <f>IF($B156&gt;64.9,'Retirement Planning'!$J$39/12,0)</f>
        <v>183.33333333333334</v>
      </c>
      <c r="AH156" s="7">
        <f>IF($B156&gt;64.9,'Retirement Planning'!$J$40/12,0)</f>
        <v>258.33333333333331</v>
      </c>
      <c r="AI156" s="7">
        <f>IF($B156&gt;64.9,'Retirement Planning'!$J$41/12,0)</f>
        <v>558.33333333333337</v>
      </c>
      <c r="AJ156" s="7">
        <f t="shared" ca="1" si="59"/>
        <v>316.66666666666663</v>
      </c>
      <c r="AK156" s="3" t="str">
        <f t="shared" ca="1" si="60"/>
        <v>N/A</v>
      </c>
      <c r="AL156" s="6" t="str">
        <f t="shared" ca="1" si="61"/>
        <v>N/A</v>
      </c>
      <c r="AM156" s="7">
        <f t="shared" ca="1" si="62"/>
        <v>1.1368683772161603E-12</v>
      </c>
      <c r="AN156" s="7">
        <f t="shared" ca="1" si="63"/>
        <v>10661.450816750099</v>
      </c>
      <c r="AO156" s="7">
        <f t="shared" si="64"/>
        <v>1125</v>
      </c>
    </row>
    <row r="157" spans="1:41" x14ac:dyDescent="0.2">
      <c r="A157">
        <f t="shared" si="65"/>
        <v>50</v>
      </c>
      <c r="B157" s="5">
        <f t="shared" si="66"/>
        <v>68.5</v>
      </c>
      <c r="C157" s="56">
        <f t="shared" si="67"/>
        <v>50891</v>
      </c>
      <c r="D157" s="57">
        <f ca="1">IF(AND(B156&lt;59.5,OR(B157&gt;59.5,B157=59.5)),(D156-E156+J156-K156)*(1+'Retirement Planning'!$J$23/12),(D156-E156)*(1+'Retirement Planning'!$J$23/12))</f>
        <v>344365.31240976899</v>
      </c>
      <c r="E157" s="58">
        <f t="shared" ca="1" si="54"/>
        <v>1010.9298537985596</v>
      </c>
      <c r="F157" s="57">
        <f ca="1">IF(AND(OR(B157&gt;59.5,B157=59.5),B156&lt;59.5),(F156-G156+L156-M156+N156-O156)*(1+'Retirement Planning'!$J$23/12),(F156-G156)*(1+'Retirement Planning'!$J$23/12))</f>
        <v>1267584.5228061858</v>
      </c>
      <c r="G157" s="58">
        <f ca="1">IF(AND($B$10&lt;55,B157&lt;59.5),'Retirement Planning'!$J$25,IF(OR(B157&gt;59.5,B157=59.5),MAX(0,MIN(F157,IF(D157&lt;2500,((Y157+AJ157+AA157))-X157,((Y157+AJ157+AA157)*'Retirement Planning'!$J$44)-X157))),0))</f>
        <v>6767.4251615675794</v>
      </c>
      <c r="H157" s="255">
        <f ca="1">IF(MONTH(C157)=1,IF(B157&gt;69.5,F157/(INDEX('Retirement Planning'!D$1:D$264,(160+INT(B157))))/12,0),IF(F157=0,0,H156))</f>
        <v>0</v>
      </c>
      <c r="I157" s="262">
        <f t="shared" ca="1" si="55"/>
        <v>0</v>
      </c>
      <c r="J157" s="254">
        <f ca="1">IF(AND(B156&lt;59.5,OR(B157=59.5,B157&gt;59.5)),0,(J156-K156)*(1+'Retirement Planning'!$J$23/12))</f>
        <v>0</v>
      </c>
      <c r="K157" s="58">
        <f t="shared" ca="1" si="56"/>
        <v>0</v>
      </c>
      <c r="L157" s="57">
        <f>IF(AND(OR(B157&gt;59.5,B157=59.5),B156&lt;59.5),0,(L156-M156)*(1+'Retirement Planning'!$J$23/12))</f>
        <v>0</v>
      </c>
      <c r="M157" s="59">
        <f>IF(AND($B$10&lt;55,B157&lt;59.5),0,IF(B157&lt;59.5,MAX(0,MIN((($Y157+$AJ157+AA157)*'Retirement Planning'!$J$44)-$G157-$X157,L157)),0))</f>
        <v>0</v>
      </c>
      <c r="N157" s="57">
        <f ca="1">(N156-O156)*(1+'Retirement Planning'!$J$23/12)</f>
        <v>0</v>
      </c>
      <c r="O157" s="59">
        <f ca="1">IF(B157&gt;59.5,MAX(0,MIN((AA157+$Y157+$AJ157)*(IF(D157&lt;(MIN(E145:E156)+1),1,'Retirement Planning'!$J$44))-M157-$G157-$X157-(IF(D157&lt;(MIN(E145:E156)+1),D157,0)),N157)),0)</f>
        <v>0</v>
      </c>
      <c r="P157" s="57">
        <f t="shared" si="68"/>
        <v>0</v>
      </c>
      <c r="Q157" s="58">
        <f t="shared" si="69"/>
        <v>0</v>
      </c>
      <c r="R157" s="57">
        <f ca="1">(R156-S156-T156)*(1+'Retirement Planning'!$J$23/12)</f>
        <v>363452.86027558625</v>
      </c>
      <c r="S157" s="58">
        <f t="shared" ca="1" si="70"/>
        <v>808.33333333333337</v>
      </c>
      <c r="T157" s="273">
        <f t="shared" ca="1" si="57"/>
        <v>9.0949470177292824E-13</v>
      </c>
      <c r="U157" s="57">
        <f ca="1">(U156-V156)*(1+'Retirement Planning'!$J$23/12)</f>
        <v>286330.10295395303</v>
      </c>
      <c r="V157" s="24">
        <f ca="1">IF(AND($B$10&lt;55,B157&lt;59.5),MIN(U157,MAX(0,(Y157+AA157+AJ157-G157)*'Retirement Planning'!$J$45)),IF(B157&lt;59.5,(MIN(U157,MAX(0,((Y157+AA157+AJ157)-G157-M157)*'Retirement Planning'!$J$45))),MIN(U157,MAX(0,(Y157+AA157+AJ157-G157-M157-K157-X157)*'Retirement Planning'!$J$45))))</f>
        <v>861.16246805062542</v>
      </c>
      <c r="W157" s="7">
        <f t="shared" ca="1" si="58"/>
        <v>2261732.7984454944</v>
      </c>
      <c r="X157" s="7">
        <f>(IF(B157&gt;'Retirement Planning'!$J$34,IF('Retirement Planning'!$J$34=70,'Retirement Planning'!$J$37/12,IF('Retirement Planning'!$J$34=67,'Retirement Planning'!$J$36/12,'Retirement Planning'!$J$35/12)),0))*'Retirement Planning'!$J$38</f>
        <v>1213.6000000000001</v>
      </c>
      <c r="Y157" s="7">
        <f ca="1">'Retirement Planning'!$F$35*((1+'Retirement Planning'!$J$24)^(YEAR('Projected Retirement Drawdown'!C157)-YEAR(TODAY())))</f>
        <v>7844.755572573391</v>
      </c>
      <c r="Z157" s="7">
        <f ca="1">G157+M157+O157+0.85*X157+V157*'Retirement Planning'!$J$46+T157</f>
        <v>8272.6245189954243</v>
      </c>
      <c r="AA157" s="7">
        <f ca="1">IF(MONTH(C157)=1,(((MIN(MAX(0,((SUM(Z145:Z156)-'Retirement Planning'!$I$53-'Retirement Planning'!$I$54)-'Retirement Planning'!$J$51)*'Retirement Planning'!$I$52))))+(MIN(MAX(0,((SUM(Z145:Z156)-'Retirement Planning'!$I$53-'Retirement Planning'!$I$54)-'Retirement Planning'!$J$50)*'Retirement Planning'!$I$51),('Retirement Planning'!$J$51-'Retirement Planning'!$J$50)*'Retirement Planning'!$I$51))+(MIN(MAX(0,((SUM(Z145:Z156)-'Retirement Planning'!$I$53-'Retirement Planning'!$I$54)-'Retirement Planning'!$J$49)*'Retirement Planning'!$I$50),('Retirement Planning'!$J$50-'Retirement Planning'!$J$49)*'Retirement Planning'!$I$50)+MIN(MAX(0,((SUM(Z145:Z156)-'Retirement Planning'!$I$53-'Retirement Planning'!$I$54)-'Retirement Planning'!$J$48)*'Retirement Planning'!$I$49),('Retirement Planning'!$J$49-'Retirement Planning'!$J$48)*'Retirement Planning'!$I$49)+MIN(((SUM(Z145:Z156)-'Retirement Planning'!$I$53-'Retirement Planning'!$I$54))*'Retirement Planning'!$I$48,('Retirement Planning'!$J$48)*'Retirement Planning'!$I$48))+(IF((SUM(Z145:Z156)-'Retirement Planning'!$I$54-'Retirement Planning'!$I$61)&gt;'Retirement Planning'!$J$59,(SUM(Z145:Z156)-'Retirement Planning'!$I$54-'Retirement Planning'!$I$61-'Retirement Planning'!$J$59)*'Retirement Planning'!$I$60+'Retirement Planning'!$K$59,IF((SUM(Z145:Z156)-'Retirement Planning'!$I$54-'Retirement Planning'!$I$61)&gt;'Retirement Planning'!$J$58,(SUM(Z145:Z156)-'Retirement Planning'!$I$54-'Retirement Planning'!$I$61-'Retirement Planning'!$J$58)*'Retirement Planning'!$I$59+'Retirement Planning'!$K$58,IF((SUM(Z145:Z156)-'Retirement Planning'!$I$54-'Retirement Planning'!$I$61)&gt;'Retirement Planning'!$J$57,(SUM(Z145:Z156)-'Retirement Planning'!$I$54-'Retirement Planning'!$I$61-'Retirement Planning'!$J$57)*'Retirement Planning'!$I$58+'Retirement Planning'!$K$57,IF((SUM(Z145:Z156)-'Retirement Planning'!$I$54-'Retirement Planning'!$I$61)&gt;'Retirement Planning'!$J$56,(SUM(Z145:Z156)-'Retirement Planning'!$I$54-'Retirement Planning'!$I$61-'Retirement Planning'!$J$56)*'Retirement Planning'!$I$57+'Retirement Planning'!$K$56,(SUM(Z145:Z156)-'Retirement Planning'!$I$54-'Retirement Planning'!$I$61)*'Retirement Planning'!$I$56))))))/12,AA156)</f>
        <v>1691.6952441767078</v>
      </c>
      <c r="AB157" s="104">
        <f t="shared" ca="1" si="49"/>
        <v>0.21210711203132804</v>
      </c>
      <c r="AC157" s="7">
        <f>IF(B157&lt;65,'Retirement Planning'!$J$28,0)</f>
        <v>0</v>
      </c>
      <c r="AD157" s="7">
        <f>IF(B157&lt;65,'Retirement Planning'!$J$29/12,0)</f>
        <v>0</v>
      </c>
      <c r="AE157" s="22">
        <f>'Retirement Planning'!$J$31/12</f>
        <v>58.333333333333336</v>
      </c>
      <c r="AF157" s="22">
        <f>'Retirement Planning'!$J$32/12</f>
        <v>66.666666666666671</v>
      </c>
      <c r="AG157" s="7">
        <f>IF($B157&gt;64.9,'Retirement Planning'!$J$39/12,0)</f>
        <v>183.33333333333334</v>
      </c>
      <c r="AH157" s="7">
        <f>IF($B157&gt;64.9,'Retirement Planning'!$J$40/12,0)</f>
        <v>258.33333333333331</v>
      </c>
      <c r="AI157" s="7">
        <f>IF($B157&gt;64.9,'Retirement Planning'!$J$41/12,0)</f>
        <v>558.33333333333337</v>
      </c>
      <c r="AJ157" s="7">
        <f t="shared" ca="1" si="59"/>
        <v>316.66666666666663</v>
      </c>
      <c r="AK157" s="3" t="str">
        <f t="shared" ca="1" si="60"/>
        <v>N/A</v>
      </c>
      <c r="AL157" s="6" t="str">
        <f t="shared" ca="1" si="61"/>
        <v>N/A</v>
      </c>
      <c r="AM157" s="7">
        <f t="shared" ca="1" si="62"/>
        <v>1.1368683772161603E-12</v>
      </c>
      <c r="AN157" s="7">
        <f t="shared" ca="1" si="63"/>
        <v>10661.450816750099</v>
      </c>
      <c r="AO157" s="7">
        <f t="shared" si="64"/>
        <v>1125</v>
      </c>
    </row>
    <row r="158" spans="1:41" x14ac:dyDescent="0.2">
      <c r="A158">
        <f t="shared" si="65"/>
        <v>50</v>
      </c>
      <c r="B158" s="5">
        <f t="shared" si="66"/>
        <v>68.599999999999994</v>
      </c>
      <c r="C158" s="56">
        <f t="shared" si="67"/>
        <v>50922</v>
      </c>
      <c r="D158" s="57">
        <f ca="1">IF(AND(B157&lt;59.5,OR(B158&gt;59.5,B158=59.5)),(D157-E157+J157-K157)*(1+'Retirement Planning'!$J$23/12),(D157-E157)*(1+'Retirement Planning'!$J$23/12))</f>
        <v>345786.47609907523</v>
      </c>
      <c r="E158" s="58">
        <f t="shared" ca="1" si="54"/>
        <v>1010.9298537985596</v>
      </c>
      <c r="F158" s="57">
        <f ca="1">IF(AND(OR(B158&gt;59.5,B158=59.5),B157&lt;59.5),(F157-G157+L157-M157+N157-O157)*(1+'Retirement Planning'!$J$23/12),(F157-G157)*(1+'Retirement Planning'!$J$23/12))</f>
        <v>1269747.8854196009</v>
      </c>
      <c r="G158" s="58">
        <f ca="1">IF(AND($B$10&lt;55,B158&lt;59.5),'Retirement Planning'!$J$25,IF(OR(B158&gt;59.5,B158=59.5),MAX(0,MIN(F158,IF(D158&lt;2500,((Y158+AJ158+AA158))-X158,((Y158+AJ158+AA158)*'Retirement Planning'!$J$44)-X158))),0))</f>
        <v>6767.4251615675794</v>
      </c>
      <c r="H158" s="255">
        <f ca="1">IF(MONTH(C158)=1,IF(B158&gt;69.5,F158/(INDEX('Retirement Planning'!D$1:D$264,(160+INT(B158))))/12,0),IF(F158=0,0,H157))</f>
        <v>0</v>
      </c>
      <c r="I158" s="262">
        <f t="shared" ca="1" si="55"/>
        <v>0</v>
      </c>
      <c r="J158" s="254">
        <f ca="1">IF(AND(B157&lt;59.5,OR(B158=59.5,B158&gt;59.5)),0,(J157-K157)*(1+'Retirement Planning'!$J$23/12))</f>
        <v>0</v>
      </c>
      <c r="K158" s="58">
        <f t="shared" ca="1" si="56"/>
        <v>0</v>
      </c>
      <c r="L158" s="57">
        <f>IF(AND(OR(B158&gt;59.5,B158=59.5),B157&lt;59.5),0,(L157-M157)*(1+'Retirement Planning'!$J$23/12))</f>
        <v>0</v>
      </c>
      <c r="M158" s="59">
        <f>IF(AND($B$10&lt;55,B158&lt;59.5),0,IF(B158&lt;59.5,MAX(0,MIN((($Y158+$AJ158+AA158)*'Retirement Planning'!$J$44)-$G158-$X158,L158)),0))</f>
        <v>0</v>
      </c>
      <c r="N158" s="57">
        <f ca="1">(N157-O157)*(1+'Retirement Planning'!$J$23/12)</f>
        <v>0</v>
      </c>
      <c r="O158" s="59">
        <f ca="1">IF(B158&gt;59.5,MAX(0,MIN((AA158+$Y158+$AJ158)*(IF(D158&lt;(MIN(E146:E157)+1),1,'Retirement Planning'!$J$44))-M158-$G158-$X158-(IF(D158&lt;(MIN(E146:E157)+1),D158,0)),N158)),0)</f>
        <v>0</v>
      </c>
      <c r="P158" s="57">
        <f t="shared" si="68"/>
        <v>0</v>
      </c>
      <c r="Q158" s="58">
        <f t="shared" si="69"/>
        <v>0</v>
      </c>
      <c r="R158" s="57">
        <f ca="1">(R157-S157-T157)*(1+'Retirement Planning'!$J$23/12)</f>
        <v>365213.25900809391</v>
      </c>
      <c r="S158" s="58">
        <f t="shared" ca="1" si="70"/>
        <v>808.33333333333337</v>
      </c>
      <c r="T158" s="273">
        <f t="shared" ca="1" si="57"/>
        <v>9.0949470177292824E-13</v>
      </c>
      <c r="U158" s="57">
        <f ca="1">(U157-V157)*(1+'Retirement Planning'!$J$23/12)</f>
        <v>287491.01214767754</v>
      </c>
      <c r="V158" s="24">
        <f ca="1">IF(AND($B$10&lt;55,B158&lt;59.5),MIN(U158,MAX(0,(Y158+AA158+AJ158-G158)*'Retirement Planning'!$J$45)),IF(B158&lt;59.5,(MIN(U158,MAX(0,((Y158+AA158+AJ158)-G158-M158)*'Retirement Planning'!$J$45))),MIN(U158,MAX(0,(Y158+AA158+AJ158-G158-M158-K158-X158)*'Retirement Planning'!$J$45))))</f>
        <v>861.16246805062542</v>
      </c>
      <c r="W158" s="7">
        <f t="shared" ca="1" si="58"/>
        <v>2268238.6326744477</v>
      </c>
      <c r="X158" s="7">
        <f>(IF(B158&gt;'Retirement Planning'!$J$34,IF('Retirement Planning'!$J$34=70,'Retirement Planning'!$J$37/12,IF('Retirement Planning'!$J$34=67,'Retirement Planning'!$J$36/12,'Retirement Planning'!$J$35/12)),0))*'Retirement Planning'!$J$38</f>
        <v>1213.6000000000001</v>
      </c>
      <c r="Y158" s="7">
        <f ca="1">'Retirement Planning'!$F$35*((1+'Retirement Planning'!$J$24)^(YEAR('Projected Retirement Drawdown'!C158)-YEAR(TODAY())))</f>
        <v>7844.755572573391</v>
      </c>
      <c r="Z158" s="7">
        <f ca="1">G158+M158+O158+0.85*X158+V158*'Retirement Planning'!$J$46+T158</f>
        <v>8272.6245189954243</v>
      </c>
      <c r="AA158" s="7">
        <f ca="1">IF(MONTH(C158)=1,(((MIN(MAX(0,((SUM(Z146:Z157)-'Retirement Planning'!$I$53-'Retirement Planning'!$I$54)-'Retirement Planning'!$J$51)*'Retirement Planning'!$I$52))))+(MIN(MAX(0,((SUM(Z146:Z157)-'Retirement Planning'!$I$53-'Retirement Planning'!$I$54)-'Retirement Planning'!$J$50)*'Retirement Planning'!$I$51),('Retirement Planning'!$J$51-'Retirement Planning'!$J$50)*'Retirement Planning'!$I$51))+(MIN(MAX(0,((SUM(Z146:Z157)-'Retirement Planning'!$I$53-'Retirement Planning'!$I$54)-'Retirement Planning'!$J$49)*'Retirement Planning'!$I$50),('Retirement Planning'!$J$50-'Retirement Planning'!$J$49)*'Retirement Planning'!$I$50)+MIN(MAX(0,((SUM(Z146:Z157)-'Retirement Planning'!$I$53-'Retirement Planning'!$I$54)-'Retirement Planning'!$J$48)*'Retirement Planning'!$I$49),('Retirement Planning'!$J$49-'Retirement Planning'!$J$48)*'Retirement Planning'!$I$49)+MIN(((SUM(Z146:Z157)-'Retirement Planning'!$I$53-'Retirement Planning'!$I$54))*'Retirement Planning'!$I$48,('Retirement Planning'!$J$48)*'Retirement Planning'!$I$48))+(IF((SUM(Z146:Z157)-'Retirement Planning'!$I$54-'Retirement Planning'!$I$61)&gt;'Retirement Planning'!$J$59,(SUM(Z146:Z157)-'Retirement Planning'!$I$54-'Retirement Planning'!$I$61-'Retirement Planning'!$J$59)*'Retirement Planning'!$I$60+'Retirement Planning'!$K$59,IF((SUM(Z146:Z157)-'Retirement Planning'!$I$54-'Retirement Planning'!$I$61)&gt;'Retirement Planning'!$J$58,(SUM(Z146:Z157)-'Retirement Planning'!$I$54-'Retirement Planning'!$I$61-'Retirement Planning'!$J$58)*'Retirement Planning'!$I$59+'Retirement Planning'!$K$58,IF((SUM(Z146:Z157)-'Retirement Planning'!$I$54-'Retirement Planning'!$I$61)&gt;'Retirement Planning'!$J$57,(SUM(Z146:Z157)-'Retirement Planning'!$I$54-'Retirement Planning'!$I$61-'Retirement Planning'!$J$57)*'Retirement Planning'!$I$58+'Retirement Planning'!$K$57,IF((SUM(Z146:Z157)-'Retirement Planning'!$I$54-'Retirement Planning'!$I$61)&gt;'Retirement Planning'!$J$56,(SUM(Z146:Z157)-'Retirement Planning'!$I$54-'Retirement Planning'!$I$61-'Retirement Planning'!$J$56)*'Retirement Planning'!$I$57+'Retirement Planning'!$K$56,(SUM(Z146:Z157)-'Retirement Planning'!$I$54-'Retirement Planning'!$I$61)*'Retirement Planning'!$I$56))))))/12,AA157)</f>
        <v>1691.6952441767078</v>
      </c>
      <c r="AB158" s="104">
        <f t="shared" ca="1" si="49"/>
        <v>0.21210711203132804</v>
      </c>
      <c r="AC158" s="7">
        <f>IF(B158&lt;65,'Retirement Planning'!$J$28,0)</f>
        <v>0</v>
      </c>
      <c r="AD158" s="7">
        <f>IF(B158&lt;65,'Retirement Planning'!$J$29/12,0)</f>
        <v>0</v>
      </c>
      <c r="AE158" s="22">
        <f>'Retirement Planning'!$J$31/12</f>
        <v>58.333333333333336</v>
      </c>
      <c r="AF158" s="22">
        <f>'Retirement Planning'!$J$32/12</f>
        <v>66.666666666666671</v>
      </c>
      <c r="AG158" s="7">
        <f>IF($B158&gt;64.9,'Retirement Planning'!$J$39/12,0)</f>
        <v>183.33333333333334</v>
      </c>
      <c r="AH158" s="7">
        <f>IF($B158&gt;64.9,'Retirement Planning'!$J$40/12,0)</f>
        <v>258.33333333333331</v>
      </c>
      <c r="AI158" s="7">
        <f>IF($B158&gt;64.9,'Retirement Planning'!$J$41/12,0)</f>
        <v>558.33333333333337</v>
      </c>
      <c r="AJ158" s="7">
        <f t="shared" ca="1" si="59"/>
        <v>316.66666666666663</v>
      </c>
      <c r="AK158" s="3" t="str">
        <f t="shared" ca="1" si="60"/>
        <v>N/A</v>
      </c>
      <c r="AL158" s="6" t="str">
        <f t="shared" ca="1" si="61"/>
        <v>N/A</v>
      </c>
      <c r="AM158" s="7">
        <f t="shared" ca="1" si="62"/>
        <v>1.1368683772161603E-12</v>
      </c>
      <c r="AN158" s="7">
        <f t="shared" ca="1" si="63"/>
        <v>10661.450816750099</v>
      </c>
      <c r="AO158" s="7">
        <f t="shared" si="64"/>
        <v>1125</v>
      </c>
    </row>
    <row r="159" spans="1:41" x14ac:dyDescent="0.2">
      <c r="A159">
        <f t="shared" si="65"/>
        <v>50</v>
      </c>
      <c r="B159" s="5">
        <f t="shared" si="66"/>
        <v>68.7</v>
      </c>
      <c r="C159" s="56">
        <f t="shared" si="67"/>
        <v>50952</v>
      </c>
      <c r="D159" s="57">
        <f ca="1">IF(AND(B158&lt;59.5,OR(B159&gt;59.5,B159=59.5)),(D158-E158+J158-K158)*(1+'Retirement Planning'!$J$23/12),(D158-E158)*(1+'Retirement Planning'!$J$23/12))</f>
        <v>347217.70636451407</v>
      </c>
      <c r="E159" s="58">
        <f t="shared" ca="1" si="54"/>
        <v>1010.9298537985596</v>
      </c>
      <c r="F159" s="57">
        <f ca="1">IF(AND(OR(B159&gt;59.5,B159=59.5),B158&lt;59.5),(F158-G158+L158-M158+N158-O158)*(1+'Retirement Planning'!$J$23/12),(F158-G158)*(1+'Retirement Planning'!$J$23/12))</f>
        <v>1271926.5718515278</v>
      </c>
      <c r="G159" s="58">
        <f ca="1">IF(AND($B$10&lt;55,B159&lt;59.5),'Retirement Planning'!$J$25,IF(OR(B159&gt;59.5,B159=59.5),MAX(0,MIN(F159,IF(D159&lt;2500,((Y159+AJ159+AA159))-X159,((Y159+AJ159+AA159)*'Retirement Planning'!$J$44)-X159))),0))</f>
        <v>6767.4251615675794</v>
      </c>
      <c r="H159" s="255">
        <f ca="1">IF(MONTH(C159)=1,IF(B159&gt;69.5,F159/(INDEX('Retirement Planning'!D$1:D$264,(160+INT(B159))))/12,0),IF(F159=0,0,H158))</f>
        <v>0</v>
      </c>
      <c r="I159" s="262">
        <f t="shared" ca="1" si="55"/>
        <v>0</v>
      </c>
      <c r="J159" s="254">
        <f ca="1">IF(AND(B158&lt;59.5,OR(B159=59.5,B159&gt;59.5)),0,(J158-K158)*(1+'Retirement Planning'!$J$23/12))</f>
        <v>0</v>
      </c>
      <c r="K159" s="58">
        <f t="shared" ca="1" si="56"/>
        <v>0</v>
      </c>
      <c r="L159" s="57">
        <f>IF(AND(OR(B159&gt;59.5,B159=59.5),B158&lt;59.5),0,(L158-M158)*(1+'Retirement Planning'!$J$23/12))</f>
        <v>0</v>
      </c>
      <c r="M159" s="59">
        <f>IF(AND($B$10&lt;55,B159&lt;59.5),0,IF(B159&lt;59.5,MAX(0,MIN((($Y159+$AJ159+AA159)*'Retirement Planning'!$J$44)-$G159-$X159,L159)),0))</f>
        <v>0</v>
      </c>
      <c r="N159" s="57">
        <f ca="1">(N158-O158)*(1+'Retirement Planning'!$J$23/12)</f>
        <v>0</v>
      </c>
      <c r="O159" s="59">
        <f ca="1">IF(B159&gt;59.5,MAX(0,MIN((AA159+$Y159+$AJ159)*(IF(D159&lt;(MIN(E147:E158)+1),1,'Retirement Planning'!$J$44))-M159-$G159-$X159-(IF(D159&lt;(MIN(E147:E158)+1),D159,0)),N159)),0)</f>
        <v>0</v>
      </c>
      <c r="P159" s="57">
        <f t="shared" si="68"/>
        <v>0</v>
      </c>
      <c r="Q159" s="58">
        <f t="shared" si="69"/>
        <v>0</v>
      </c>
      <c r="R159" s="57">
        <f ca="1">(R158-S158-T158)*(1+'Retirement Planning'!$J$23/12)</f>
        <v>366986.12723162351</v>
      </c>
      <c r="S159" s="58">
        <f t="shared" ca="1" si="70"/>
        <v>808.33333333333337</v>
      </c>
      <c r="T159" s="273">
        <f t="shared" ca="1" si="57"/>
        <v>9.0949470177292824E-13</v>
      </c>
      <c r="U159" s="57">
        <f ca="1">(U158-V158)*(1+'Retirement Planning'!$J$23/12)</f>
        <v>288660.14444819093</v>
      </c>
      <c r="V159" s="24">
        <f ca="1">IF(AND($B$10&lt;55,B159&lt;59.5),MIN(U159,MAX(0,(Y159+AA159+AJ159-G159)*'Retirement Planning'!$J$45)),IF(B159&lt;59.5,(MIN(U159,MAX(0,((Y159+AA159+AJ159)-G159-M159)*'Retirement Planning'!$J$45))),MIN(U159,MAX(0,(Y159+AA159+AJ159-G159-M159-K159-X159)*'Retirement Planning'!$J$45))))</f>
        <v>861.16246805062542</v>
      </c>
      <c r="W159" s="7">
        <f t="shared" ca="1" si="58"/>
        <v>2274790.5498958565</v>
      </c>
      <c r="X159" s="7">
        <f>(IF(B159&gt;'Retirement Planning'!$J$34,IF('Retirement Planning'!$J$34=70,'Retirement Planning'!$J$37/12,IF('Retirement Planning'!$J$34=67,'Retirement Planning'!$J$36/12,'Retirement Planning'!$J$35/12)),0))*'Retirement Planning'!$J$38</f>
        <v>1213.6000000000001</v>
      </c>
      <c r="Y159" s="7">
        <f ca="1">'Retirement Planning'!$F$35*((1+'Retirement Planning'!$J$24)^(YEAR('Projected Retirement Drawdown'!C159)-YEAR(TODAY())))</f>
        <v>7844.755572573391</v>
      </c>
      <c r="Z159" s="7">
        <f ca="1">G159+M159+O159+0.85*X159+V159*'Retirement Planning'!$J$46+T159</f>
        <v>8272.6245189954243</v>
      </c>
      <c r="AA159" s="7">
        <f ca="1">IF(MONTH(C159)=1,(((MIN(MAX(0,((SUM(Z147:Z158)-'Retirement Planning'!$I$53-'Retirement Planning'!$I$54)-'Retirement Planning'!$J$51)*'Retirement Planning'!$I$52))))+(MIN(MAX(0,((SUM(Z147:Z158)-'Retirement Planning'!$I$53-'Retirement Planning'!$I$54)-'Retirement Planning'!$J$50)*'Retirement Planning'!$I$51),('Retirement Planning'!$J$51-'Retirement Planning'!$J$50)*'Retirement Planning'!$I$51))+(MIN(MAX(0,((SUM(Z147:Z158)-'Retirement Planning'!$I$53-'Retirement Planning'!$I$54)-'Retirement Planning'!$J$49)*'Retirement Planning'!$I$50),('Retirement Planning'!$J$50-'Retirement Planning'!$J$49)*'Retirement Planning'!$I$50)+MIN(MAX(0,((SUM(Z147:Z158)-'Retirement Planning'!$I$53-'Retirement Planning'!$I$54)-'Retirement Planning'!$J$48)*'Retirement Planning'!$I$49),('Retirement Planning'!$J$49-'Retirement Planning'!$J$48)*'Retirement Planning'!$I$49)+MIN(((SUM(Z147:Z158)-'Retirement Planning'!$I$53-'Retirement Planning'!$I$54))*'Retirement Planning'!$I$48,('Retirement Planning'!$J$48)*'Retirement Planning'!$I$48))+(IF((SUM(Z147:Z158)-'Retirement Planning'!$I$54-'Retirement Planning'!$I$61)&gt;'Retirement Planning'!$J$59,(SUM(Z147:Z158)-'Retirement Planning'!$I$54-'Retirement Planning'!$I$61-'Retirement Planning'!$J$59)*'Retirement Planning'!$I$60+'Retirement Planning'!$K$59,IF((SUM(Z147:Z158)-'Retirement Planning'!$I$54-'Retirement Planning'!$I$61)&gt;'Retirement Planning'!$J$58,(SUM(Z147:Z158)-'Retirement Planning'!$I$54-'Retirement Planning'!$I$61-'Retirement Planning'!$J$58)*'Retirement Planning'!$I$59+'Retirement Planning'!$K$58,IF((SUM(Z147:Z158)-'Retirement Planning'!$I$54-'Retirement Planning'!$I$61)&gt;'Retirement Planning'!$J$57,(SUM(Z147:Z158)-'Retirement Planning'!$I$54-'Retirement Planning'!$I$61-'Retirement Planning'!$J$57)*'Retirement Planning'!$I$58+'Retirement Planning'!$K$57,IF((SUM(Z147:Z158)-'Retirement Planning'!$I$54-'Retirement Planning'!$I$61)&gt;'Retirement Planning'!$J$56,(SUM(Z147:Z158)-'Retirement Planning'!$I$54-'Retirement Planning'!$I$61-'Retirement Planning'!$J$56)*'Retirement Planning'!$I$57+'Retirement Planning'!$K$56,(SUM(Z147:Z158)-'Retirement Planning'!$I$54-'Retirement Planning'!$I$61)*'Retirement Planning'!$I$56))))))/12,AA158)</f>
        <v>1691.6952441767078</v>
      </c>
      <c r="AB159" s="104">
        <f t="shared" ca="1" si="49"/>
        <v>0.21210711203132804</v>
      </c>
      <c r="AC159" s="7">
        <f>IF(B159&lt;65,'Retirement Planning'!$J$28,0)</f>
        <v>0</v>
      </c>
      <c r="AD159" s="7">
        <f>IF(B159&lt;65,'Retirement Planning'!$J$29/12,0)</f>
        <v>0</v>
      </c>
      <c r="AE159" s="22">
        <f>'Retirement Planning'!$J$31/12</f>
        <v>58.333333333333336</v>
      </c>
      <c r="AF159" s="22">
        <f>'Retirement Planning'!$J$32/12</f>
        <v>66.666666666666671</v>
      </c>
      <c r="AG159" s="7">
        <f>IF($B159&gt;64.9,'Retirement Planning'!$J$39/12,0)</f>
        <v>183.33333333333334</v>
      </c>
      <c r="AH159" s="7">
        <f>IF($B159&gt;64.9,'Retirement Planning'!$J$40/12,0)</f>
        <v>258.33333333333331</v>
      </c>
      <c r="AI159" s="7">
        <f>IF($B159&gt;64.9,'Retirement Planning'!$J$41/12,0)</f>
        <v>558.33333333333337</v>
      </c>
      <c r="AJ159" s="7">
        <f t="shared" ca="1" si="59"/>
        <v>316.66666666666663</v>
      </c>
      <c r="AK159" s="3" t="str">
        <f t="shared" ca="1" si="60"/>
        <v>N/A</v>
      </c>
      <c r="AL159" s="6" t="str">
        <f t="shared" ca="1" si="61"/>
        <v>N/A</v>
      </c>
      <c r="AM159" s="7">
        <f t="shared" ca="1" si="62"/>
        <v>1.1368683772161603E-12</v>
      </c>
      <c r="AN159" s="7">
        <f t="shared" ca="1" si="63"/>
        <v>10661.450816750099</v>
      </c>
      <c r="AO159" s="7">
        <f t="shared" si="64"/>
        <v>1125</v>
      </c>
    </row>
    <row r="160" spans="1:41" x14ac:dyDescent="0.2">
      <c r="A160">
        <f t="shared" si="65"/>
        <v>50</v>
      </c>
      <c r="B160" s="5">
        <f t="shared" si="66"/>
        <v>68.8</v>
      </c>
      <c r="C160" s="56">
        <f t="shared" si="67"/>
        <v>50983</v>
      </c>
      <c r="D160" s="57">
        <f ca="1">IF(AND(B159&lt;59.5,OR(B160&gt;59.5,B160=59.5)),(D159-E159+J159-K159)*(1+'Retirement Planning'!$J$23/12),(D159-E159)*(1+'Retirement Planning'!$J$23/12))</f>
        <v>348659.07451099972</v>
      </c>
      <c r="E160" s="58">
        <f t="shared" ca="1" si="54"/>
        <v>1010.9298537985596</v>
      </c>
      <c r="F160" s="57">
        <f ca="1">IF(AND(OR(B160&gt;59.5,B160=59.5),B159&lt;59.5),(F159-G159+L159-M159+N159-O159)*(1+'Retirement Planning'!$J$23/12),(F159-G159)*(1+'Retirement Planning'!$J$23/12))</f>
        <v>1274120.6906456808</v>
      </c>
      <c r="G160" s="58">
        <f ca="1">IF(AND($B$10&lt;55,B160&lt;59.5),'Retirement Planning'!$J$25,IF(OR(B160&gt;59.5,B160=59.5),MAX(0,MIN(F160,IF(D160&lt;2500,((Y160+AJ160+AA160))-X160,((Y160+AJ160+AA160)*'Retirement Planning'!$J$44)-X160))),0))</f>
        <v>6767.4251615675794</v>
      </c>
      <c r="H160" s="255">
        <f ca="1">IF(MONTH(C160)=1,IF(B160&gt;69.5,F160/(INDEX('Retirement Planning'!D$1:D$264,(160+INT(B160))))/12,0),IF(F160=0,0,H159))</f>
        <v>0</v>
      </c>
      <c r="I160" s="262">
        <f t="shared" ca="1" si="55"/>
        <v>0</v>
      </c>
      <c r="J160" s="254">
        <f ca="1">IF(AND(B159&lt;59.5,OR(B160=59.5,B160&gt;59.5)),0,(J159-K159)*(1+'Retirement Planning'!$J$23/12))</f>
        <v>0</v>
      </c>
      <c r="K160" s="58">
        <f t="shared" ca="1" si="56"/>
        <v>0</v>
      </c>
      <c r="L160" s="57">
        <f>IF(AND(OR(B160&gt;59.5,B160=59.5),B159&lt;59.5),0,(L159-M159)*(1+'Retirement Planning'!$J$23/12))</f>
        <v>0</v>
      </c>
      <c r="M160" s="59">
        <f>IF(AND($B$10&lt;55,B160&lt;59.5),0,IF(B160&lt;59.5,MAX(0,MIN((($Y160+$AJ160+AA160)*'Retirement Planning'!$J$44)-$G160-$X160,L160)),0))</f>
        <v>0</v>
      </c>
      <c r="N160" s="57">
        <f ca="1">(N159-O159)*(1+'Retirement Planning'!$J$23/12)</f>
        <v>0</v>
      </c>
      <c r="O160" s="59">
        <f ca="1">IF(B160&gt;59.5,MAX(0,MIN((AA160+$Y160+$AJ160)*(IF(D160&lt;(MIN(E148:E159)+1),1,'Retirement Planning'!$J$44))-M160-$G160-$X160-(IF(D160&lt;(MIN(E148:E159)+1),D160,0)),N160)),0)</f>
        <v>0</v>
      </c>
      <c r="P160" s="57">
        <f t="shared" si="68"/>
        <v>0</v>
      </c>
      <c r="Q160" s="58">
        <f t="shared" si="69"/>
        <v>0</v>
      </c>
      <c r="R160" s="57">
        <f ca="1">(R159-S159-T159)*(1+'Retirement Planning'!$J$23/12)</f>
        <v>368771.55327173643</v>
      </c>
      <c r="S160" s="58">
        <f t="shared" ca="1" si="70"/>
        <v>808.33333333333337</v>
      </c>
      <c r="T160" s="273">
        <f t="shared" ca="1" si="57"/>
        <v>9.0949470177292824E-13</v>
      </c>
      <c r="U160" s="57">
        <f ca="1">(U159-V159)*(1+'Retirement Planning'!$J$23/12)</f>
        <v>289837.55810249964</v>
      </c>
      <c r="V160" s="24">
        <f ca="1">IF(AND($B$10&lt;55,B160&lt;59.5),MIN(U160,MAX(0,(Y160+AA160+AJ160-G160)*'Retirement Planning'!$J$45)),IF(B160&lt;59.5,(MIN(U160,MAX(0,((Y160+AA160+AJ160)-G160-M160)*'Retirement Planning'!$J$45))),MIN(U160,MAX(0,(Y160+AA160+AJ160-G160-M160-K160-X160)*'Retirement Planning'!$J$45))))</f>
        <v>861.16246805062542</v>
      </c>
      <c r="W160" s="7">
        <f t="shared" ca="1" si="58"/>
        <v>2281388.8765309164</v>
      </c>
      <c r="X160" s="7">
        <f>(IF(B160&gt;'Retirement Planning'!$J$34,IF('Retirement Planning'!$J$34=70,'Retirement Planning'!$J$37/12,IF('Retirement Planning'!$J$34=67,'Retirement Planning'!$J$36/12,'Retirement Planning'!$J$35/12)),0))*'Retirement Planning'!$J$38</f>
        <v>1213.6000000000001</v>
      </c>
      <c r="Y160" s="7">
        <f ca="1">'Retirement Planning'!$F$35*((1+'Retirement Planning'!$J$24)^(YEAR('Projected Retirement Drawdown'!C160)-YEAR(TODAY())))</f>
        <v>7844.755572573391</v>
      </c>
      <c r="Z160" s="7">
        <f ca="1">G160+M160+O160+0.85*X160+V160*'Retirement Planning'!$J$46+T160</f>
        <v>8272.6245189954243</v>
      </c>
      <c r="AA160" s="7">
        <f ca="1">IF(MONTH(C160)=1,(((MIN(MAX(0,((SUM(Z148:Z159)-'Retirement Planning'!$I$53-'Retirement Planning'!$I$54)-'Retirement Planning'!$J$51)*'Retirement Planning'!$I$52))))+(MIN(MAX(0,((SUM(Z148:Z159)-'Retirement Planning'!$I$53-'Retirement Planning'!$I$54)-'Retirement Planning'!$J$50)*'Retirement Planning'!$I$51),('Retirement Planning'!$J$51-'Retirement Planning'!$J$50)*'Retirement Planning'!$I$51))+(MIN(MAX(0,((SUM(Z148:Z159)-'Retirement Planning'!$I$53-'Retirement Planning'!$I$54)-'Retirement Planning'!$J$49)*'Retirement Planning'!$I$50),('Retirement Planning'!$J$50-'Retirement Planning'!$J$49)*'Retirement Planning'!$I$50)+MIN(MAX(0,((SUM(Z148:Z159)-'Retirement Planning'!$I$53-'Retirement Planning'!$I$54)-'Retirement Planning'!$J$48)*'Retirement Planning'!$I$49),('Retirement Planning'!$J$49-'Retirement Planning'!$J$48)*'Retirement Planning'!$I$49)+MIN(((SUM(Z148:Z159)-'Retirement Planning'!$I$53-'Retirement Planning'!$I$54))*'Retirement Planning'!$I$48,('Retirement Planning'!$J$48)*'Retirement Planning'!$I$48))+(IF((SUM(Z148:Z159)-'Retirement Planning'!$I$54-'Retirement Planning'!$I$61)&gt;'Retirement Planning'!$J$59,(SUM(Z148:Z159)-'Retirement Planning'!$I$54-'Retirement Planning'!$I$61-'Retirement Planning'!$J$59)*'Retirement Planning'!$I$60+'Retirement Planning'!$K$59,IF((SUM(Z148:Z159)-'Retirement Planning'!$I$54-'Retirement Planning'!$I$61)&gt;'Retirement Planning'!$J$58,(SUM(Z148:Z159)-'Retirement Planning'!$I$54-'Retirement Planning'!$I$61-'Retirement Planning'!$J$58)*'Retirement Planning'!$I$59+'Retirement Planning'!$K$58,IF((SUM(Z148:Z159)-'Retirement Planning'!$I$54-'Retirement Planning'!$I$61)&gt;'Retirement Planning'!$J$57,(SUM(Z148:Z159)-'Retirement Planning'!$I$54-'Retirement Planning'!$I$61-'Retirement Planning'!$J$57)*'Retirement Planning'!$I$58+'Retirement Planning'!$K$57,IF((SUM(Z148:Z159)-'Retirement Planning'!$I$54-'Retirement Planning'!$I$61)&gt;'Retirement Planning'!$J$56,(SUM(Z148:Z159)-'Retirement Planning'!$I$54-'Retirement Planning'!$I$61-'Retirement Planning'!$J$56)*'Retirement Planning'!$I$57+'Retirement Planning'!$K$56,(SUM(Z148:Z159)-'Retirement Planning'!$I$54-'Retirement Planning'!$I$61)*'Retirement Planning'!$I$56))))))/12,AA159)</f>
        <v>1691.6952441767078</v>
      </c>
      <c r="AB160" s="104">
        <f t="shared" ca="1" si="49"/>
        <v>0.21210711203132804</v>
      </c>
      <c r="AC160" s="7">
        <f>IF(B160&lt;65,'Retirement Planning'!$J$28,0)</f>
        <v>0</v>
      </c>
      <c r="AD160" s="7">
        <f>IF(B160&lt;65,'Retirement Planning'!$J$29/12,0)</f>
        <v>0</v>
      </c>
      <c r="AE160" s="22">
        <f>'Retirement Planning'!$J$31/12</f>
        <v>58.333333333333336</v>
      </c>
      <c r="AF160" s="22">
        <f>'Retirement Planning'!$J$32/12</f>
        <v>66.666666666666671</v>
      </c>
      <c r="AG160" s="7">
        <f>IF($B160&gt;64.9,'Retirement Planning'!$J$39/12,0)</f>
        <v>183.33333333333334</v>
      </c>
      <c r="AH160" s="7">
        <f>IF($B160&gt;64.9,'Retirement Planning'!$J$40/12,0)</f>
        <v>258.33333333333331</v>
      </c>
      <c r="AI160" s="7">
        <f>IF($B160&gt;64.9,'Retirement Planning'!$J$41/12,0)</f>
        <v>558.33333333333337</v>
      </c>
      <c r="AJ160" s="7">
        <f t="shared" ca="1" si="59"/>
        <v>316.66666666666663</v>
      </c>
      <c r="AK160" s="3" t="str">
        <f t="shared" ca="1" si="60"/>
        <v>N/A</v>
      </c>
      <c r="AL160" s="6" t="str">
        <f t="shared" ca="1" si="61"/>
        <v>N/A</v>
      </c>
      <c r="AM160" s="7">
        <f t="shared" ca="1" si="62"/>
        <v>1.1368683772161603E-12</v>
      </c>
      <c r="AN160" s="7">
        <f t="shared" ca="1" si="63"/>
        <v>10661.450816750099</v>
      </c>
      <c r="AO160" s="7">
        <f t="shared" si="64"/>
        <v>1125</v>
      </c>
    </row>
    <row r="161" spans="1:41" x14ac:dyDescent="0.2">
      <c r="A161">
        <f t="shared" si="65"/>
        <v>50</v>
      </c>
      <c r="B161" s="5">
        <f t="shared" si="66"/>
        <v>68.900000000000006</v>
      </c>
      <c r="C161" s="56">
        <f t="shared" si="67"/>
        <v>51014</v>
      </c>
      <c r="D161" s="57">
        <f ca="1">IF(AND(B160&lt;59.5,OR(B161&gt;59.5,B161=59.5)),(D160-E160+J160-K160)*(1+'Retirement Planning'!$J$23/12),(D160-E160)*(1+'Retirement Planning'!$J$23/12))</f>
        <v>350110.65234852297</v>
      </c>
      <c r="E161" s="58">
        <f t="shared" ca="1" si="54"/>
        <v>1010.9298537985596</v>
      </c>
      <c r="F161" s="57">
        <f ca="1">IF(AND(OR(B161&gt;59.5,B161=59.5),B160&lt;59.5),(F160-G160+L160-M160+N160-O160)*(1+'Retirement Planning'!$J$23/12),(F160-G160)*(1+'Retirement Planning'!$J$23/12))</f>
        <v>1276330.3511146258</v>
      </c>
      <c r="G161" s="58">
        <f ca="1">IF(AND($B$10&lt;55,B161&lt;59.5),'Retirement Planning'!$J$25,IF(OR(B161&gt;59.5,B161=59.5),MAX(0,MIN(F161,IF(D161&lt;2500,((Y161+AJ161+AA161))-X161,((Y161+AJ161+AA161)*'Retirement Planning'!$J$44)-X161))),0))</f>
        <v>6767.4251615675794</v>
      </c>
      <c r="H161" s="255">
        <f ca="1">IF(MONTH(C161)=1,IF(B161&gt;69.5,F161/(INDEX('Retirement Planning'!D$1:D$264,(160+INT(B161))))/12,0),IF(F161=0,0,H160))</f>
        <v>0</v>
      </c>
      <c r="I161" s="262">
        <f t="shared" ca="1" si="55"/>
        <v>0</v>
      </c>
      <c r="J161" s="254">
        <f ca="1">IF(AND(B160&lt;59.5,OR(B161=59.5,B161&gt;59.5)),0,(J160-K160)*(1+'Retirement Planning'!$J$23/12))</f>
        <v>0</v>
      </c>
      <c r="K161" s="58">
        <f t="shared" ca="1" si="56"/>
        <v>0</v>
      </c>
      <c r="L161" s="57">
        <f>IF(AND(OR(B161&gt;59.5,B161=59.5),B160&lt;59.5),0,(L160-M160)*(1+'Retirement Planning'!$J$23/12))</f>
        <v>0</v>
      </c>
      <c r="M161" s="59">
        <f>IF(AND($B$10&lt;55,B161&lt;59.5),0,IF(B161&lt;59.5,MAX(0,MIN((($Y161+$AJ161+AA161)*'Retirement Planning'!$J$44)-$G161-$X161,L161)),0))</f>
        <v>0</v>
      </c>
      <c r="N161" s="57">
        <f ca="1">(N160-O160)*(1+'Retirement Planning'!$J$23/12)</f>
        <v>0</v>
      </c>
      <c r="O161" s="59">
        <f ca="1">IF(B161&gt;59.5,MAX(0,MIN((AA161+$Y161+$AJ161)*(IF(D161&lt;(MIN(E149:E160)+1),1,'Retirement Planning'!$J$44))-M161-$G161-$X161-(IF(D161&lt;(MIN(E149:E160)+1),D161,0)),N161)),0)</f>
        <v>0</v>
      </c>
      <c r="P161" s="57">
        <f t="shared" si="68"/>
        <v>0</v>
      </c>
      <c r="Q161" s="58">
        <f t="shared" si="69"/>
        <v>0</v>
      </c>
      <c r="R161" s="57">
        <f ca="1">(R160-S160-T160)*(1+'Retirement Planning'!$J$23/12)</f>
        <v>370569.62607963348</v>
      </c>
      <c r="S161" s="58">
        <f t="shared" ca="1" si="70"/>
        <v>808.33333333333337</v>
      </c>
      <c r="T161" s="273">
        <f t="shared" ca="1" si="57"/>
        <v>9.0949470177292824E-13</v>
      </c>
      <c r="U161" s="57">
        <f ca="1">(U160-V160)*(1+'Retirement Planning'!$J$23/12)</f>
        <v>291023.31177019305</v>
      </c>
      <c r="V161" s="24">
        <f ca="1">IF(AND($B$10&lt;55,B161&lt;59.5),MIN(U161,MAX(0,(Y161+AA161+AJ161-G161)*'Retirement Planning'!$J$45)),IF(B161&lt;59.5,(MIN(U161,MAX(0,((Y161+AA161+AJ161)-G161-M161)*'Retirement Planning'!$J$45))),MIN(U161,MAX(0,(Y161+AA161+AJ161-G161-M161-K161-X161)*'Retirement Planning'!$J$45))))</f>
        <v>861.16246805062542</v>
      </c>
      <c r="W161" s="7">
        <f t="shared" ca="1" si="58"/>
        <v>2288033.9413129753</v>
      </c>
      <c r="X161" s="7">
        <f>(IF(B161&gt;'Retirement Planning'!$J$34,IF('Retirement Planning'!$J$34=70,'Retirement Planning'!$J$37/12,IF('Retirement Planning'!$J$34=67,'Retirement Planning'!$J$36/12,'Retirement Planning'!$J$35/12)),0))*'Retirement Planning'!$J$38</f>
        <v>1213.6000000000001</v>
      </c>
      <c r="Y161" s="7">
        <f ca="1">'Retirement Planning'!$F$35*((1+'Retirement Planning'!$J$24)^(YEAR('Projected Retirement Drawdown'!C161)-YEAR(TODAY())))</f>
        <v>7844.755572573391</v>
      </c>
      <c r="Z161" s="7">
        <f ca="1">G161+M161+O161+0.85*X161+V161*'Retirement Planning'!$J$46+T161</f>
        <v>8272.6245189954243</v>
      </c>
      <c r="AA161" s="7">
        <f ca="1">IF(MONTH(C161)=1,(((MIN(MAX(0,((SUM(Z149:Z160)-'Retirement Planning'!$I$53-'Retirement Planning'!$I$54)-'Retirement Planning'!$J$51)*'Retirement Planning'!$I$52))))+(MIN(MAX(0,((SUM(Z149:Z160)-'Retirement Planning'!$I$53-'Retirement Planning'!$I$54)-'Retirement Planning'!$J$50)*'Retirement Planning'!$I$51),('Retirement Planning'!$J$51-'Retirement Planning'!$J$50)*'Retirement Planning'!$I$51))+(MIN(MAX(0,((SUM(Z149:Z160)-'Retirement Planning'!$I$53-'Retirement Planning'!$I$54)-'Retirement Planning'!$J$49)*'Retirement Planning'!$I$50),('Retirement Planning'!$J$50-'Retirement Planning'!$J$49)*'Retirement Planning'!$I$50)+MIN(MAX(0,((SUM(Z149:Z160)-'Retirement Planning'!$I$53-'Retirement Planning'!$I$54)-'Retirement Planning'!$J$48)*'Retirement Planning'!$I$49),('Retirement Planning'!$J$49-'Retirement Planning'!$J$48)*'Retirement Planning'!$I$49)+MIN(((SUM(Z149:Z160)-'Retirement Planning'!$I$53-'Retirement Planning'!$I$54))*'Retirement Planning'!$I$48,('Retirement Planning'!$J$48)*'Retirement Planning'!$I$48))+(IF((SUM(Z149:Z160)-'Retirement Planning'!$I$54-'Retirement Planning'!$I$61)&gt;'Retirement Planning'!$J$59,(SUM(Z149:Z160)-'Retirement Planning'!$I$54-'Retirement Planning'!$I$61-'Retirement Planning'!$J$59)*'Retirement Planning'!$I$60+'Retirement Planning'!$K$59,IF((SUM(Z149:Z160)-'Retirement Planning'!$I$54-'Retirement Planning'!$I$61)&gt;'Retirement Planning'!$J$58,(SUM(Z149:Z160)-'Retirement Planning'!$I$54-'Retirement Planning'!$I$61-'Retirement Planning'!$J$58)*'Retirement Planning'!$I$59+'Retirement Planning'!$K$58,IF((SUM(Z149:Z160)-'Retirement Planning'!$I$54-'Retirement Planning'!$I$61)&gt;'Retirement Planning'!$J$57,(SUM(Z149:Z160)-'Retirement Planning'!$I$54-'Retirement Planning'!$I$61-'Retirement Planning'!$J$57)*'Retirement Planning'!$I$58+'Retirement Planning'!$K$57,IF((SUM(Z149:Z160)-'Retirement Planning'!$I$54-'Retirement Planning'!$I$61)&gt;'Retirement Planning'!$J$56,(SUM(Z149:Z160)-'Retirement Planning'!$I$54-'Retirement Planning'!$I$61-'Retirement Planning'!$J$56)*'Retirement Planning'!$I$57+'Retirement Planning'!$K$56,(SUM(Z149:Z160)-'Retirement Planning'!$I$54-'Retirement Planning'!$I$61)*'Retirement Planning'!$I$56))))))/12,AA160)</f>
        <v>1691.6952441767078</v>
      </c>
      <c r="AB161" s="104">
        <f t="shared" ca="1" si="49"/>
        <v>0.21210711203132804</v>
      </c>
      <c r="AC161" s="7">
        <f>IF(B161&lt;65,'Retirement Planning'!$J$28,0)</f>
        <v>0</v>
      </c>
      <c r="AD161" s="7">
        <f>IF(B161&lt;65,'Retirement Planning'!$J$29/12,0)</f>
        <v>0</v>
      </c>
      <c r="AE161" s="22">
        <f>'Retirement Planning'!$J$31/12</f>
        <v>58.333333333333336</v>
      </c>
      <c r="AF161" s="22">
        <f>'Retirement Planning'!$J$32/12</f>
        <v>66.666666666666671</v>
      </c>
      <c r="AG161" s="7">
        <f>IF($B161&gt;64.9,'Retirement Planning'!$J$39/12,0)</f>
        <v>183.33333333333334</v>
      </c>
      <c r="AH161" s="7">
        <f>IF($B161&gt;64.9,'Retirement Planning'!$J$40/12,0)</f>
        <v>258.33333333333331</v>
      </c>
      <c r="AI161" s="7">
        <f>IF($B161&gt;64.9,'Retirement Planning'!$J$41/12,0)</f>
        <v>558.33333333333337</v>
      </c>
      <c r="AJ161" s="7">
        <f t="shared" ca="1" si="59"/>
        <v>316.66666666666663</v>
      </c>
      <c r="AK161" s="3" t="str">
        <f t="shared" ca="1" si="60"/>
        <v>N/A</v>
      </c>
      <c r="AL161" s="6" t="str">
        <f t="shared" ca="1" si="61"/>
        <v>N/A</v>
      </c>
      <c r="AM161" s="7">
        <f t="shared" ca="1" si="62"/>
        <v>1.1368683772161603E-12</v>
      </c>
      <c r="AN161" s="7">
        <f t="shared" ca="1" si="63"/>
        <v>10661.450816750099</v>
      </c>
      <c r="AO161" s="7">
        <f t="shared" si="64"/>
        <v>1125</v>
      </c>
    </row>
    <row r="162" spans="1:41" x14ac:dyDescent="0.2">
      <c r="A162">
        <f t="shared" si="65"/>
        <v>50</v>
      </c>
      <c r="B162" s="5">
        <f t="shared" si="66"/>
        <v>69</v>
      </c>
      <c r="C162" s="56">
        <f t="shared" si="67"/>
        <v>51044</v>
      </c>
      <c r="D162" s="57">
        <f ca="1">IF(AND(B161&lt;59.5,OR(B162&gt;59.5,B162=59.5)),(D161-E161+J161-K161)*(1+'Retirement Planning'!$J$23/12),(D161-E161)*(1+'Retirement Planning'!$J$23/12))</f>
        <v>351572.51219572872</v>
      </c>
      <c r="E162" s="58">
        <f t="shared" ca="1" si="54"/>
        <v>1010.9298537985596</v>
      </c>
      <c r="F162" s="57">
        <f ca="1">IF(AND(OR(B162&gt;59.5,B162=59.5),B161&lt;59.5),(F161-G161+L161-M161+N161-O161)*(1+'Retirement Planning'!$J$23/12),(F161-G161)*(1+'Retirement Planning'!$J$23/12))</f>
        <v>1278555.6633452259</v>
      </c>
      <c r="G162" s="58">
        <f ca="1">IF(AND($B$10&lt;55,B162&lt;59.5),'Retirement Planning'!$J$25,IF(OR(B162&gt;59.5,B162=59.5),MAX(0,MIN(F162,IF(D162&lt;2500,((Y162+AJ162+AA162))-X162,((Y162+AJ162+AA162)*'Retirement Planning'!$J$44)-X162))),0))</f>
        <v>6767.4251615675794</v>
      </c>
      <c r="H162" s="255">
        <f ca="1">IF(MONTH(C162)=1,IF(B162&gt;69.5,F162/(INDEX('Retirement Planning'!D$1:D$264,(160+INT(B162))))/12,0),IF(F162=0,0,H161))</f>
        <v>0</v>
      </c>
      <c r="I162" s="262">
        <f t="shared" ca="1" si="55"/>
        <v>0</v>
      </c>
      <c r="J162" s="254">
        <f ca="1">IF(AND(B161&lt;59.5,OR(B162=59.5,B162&gt;59.5)),0,(J161-K161)*(1+'Retirement Planning'!$J$23/12))</f>
        <v>0</v>
      </c>
      <c r="K162" s="58">
        <f t="shared" ca="1" si="56"/>
        <v>0</v>
      </c>
      <c r="L162" s="57">
        <f>IF(AND(OR(B162&gt;59.5,B162=59.5),B161&lt;59.5),0,(L161-M161)*(1+'Retirement Planning'!$J$23/12))</f>
        <v>0</v>
      </c>
      <c r="M162" s="59">
        <f>IF(AND($B$10&lt;55,B162&lt;59.5),0,IF(B162&lt;59.5,MAX(0,MIN((($Y162+$AJ162+AA162)*'Retirement Planning'!$J$44)-$G162-$X162,L162)),0))</f>
        <v>0</v>
      </c>
      <c r="N162" s="57">
        <f ca="1">(N161-O161)*(1+'Retirement Planning'!$J$23/12)</f>
        <v>0</v>
      </c>
      <c r="O162" s="59">
        <f ca="1">IF(B162&gt;59.5,MAX(0,MIN((AA162+$Y162+$AJ162)*(IF(D162&lt;(MIN(E150:E161)+1),1,'Retirement Planning'!$J$44))-M162-$G162-$X162-(IF(D162&lt;(MIN(E150:E161)+1),D162,0)),N162)),0)</f>
        <v>0</v>
      </c>
      <c r="P162" s="57">
        <f t="shared" si="68"/>
        <v>0</v>
      </c>
      <c r="Q162" s="58">
        <f t="shared" si="69"/>
        <v>0</v>
      </c>
      <c r="R162" s="57">
        <f ca="1">(R161-S161-T161)*(1+'Retirement Planning'!$J$23/12)</f>
        <v>372380.43523658643</v>
      </c>
      <c r="S162" s="58">
        <f t="shared" ca="1" si="70"/>
        <v>808.33333333333337</v>
      </c>
      <c r="T162" s="273">
        <f t="shared" ca="1" si="57"/>
        <v>9.0949470177292824E-13</v>
      </c>
      <c r="U162" s="57">
        <f ca="1">(U161-V161)*(1+'Retirement Planning'!$J$23/12)</f>
        <v>292217.46452636592</v>
      </c>
      <c r="V162" s="24">
        <f ca="1">IF(AND($B$10&lt;55,B162&lt;59.5),MIN(U162,MAX(0,(Y162+AA162+AJ162-G162)*'Retirement Planning'!$J$45)),IF(B162&lt;59.5,(MIN(U162,MAX(0,((Y162+AA162+AJ162)-G162-M162)*'Retirement Planning'!$J$45))),MIN(U162,MAX(0,(Y162+AA162+AJ162-G162-M162-K162-X162)*'Retirement Planning'!$J$45))))</f>
        <v>861.16246805062542</v>
      </c>
      <c r="W162" s="7">
        <f t="shared" ca="1" si="58"/>
        <v>2294726.075303907</v>
      </c>
      <c r="X162" s="7">
        <f>(IF(B162&gt;'Retirement Planning'!$J$34,IF('Retirement Planning'!$J$34=70,'Retirement Planning'!$J$37/12,IF('Retirement Planning'!$J$34=67,'Retirement Planning'!$J$36/12,'Retirement Planning'!$J$35/12)),0))*'Retirement Planning'!$J$38</f>
        <v>1213.6000000000001</v>
      </c>
      <c r="Y162" s="7">
        <f ca="1">'Retirement Planning'!$F$35*((1+'Retirement Planning'!$J$24)^(YEAR('Projected Retirement Drawdown'!C162)-YEAR(TODAY())))</f>
        <v>7844.755572573391</v>
      </c>
      <c r="Z162" s="7">
        <f ca="1">G162+M162+O162+0.85*X162+V162*'Retirement Planning'!$J$46+T162</f>
        <v>8272.6245189954243</v>
      </c>
      <c r="AA162" s="7">
        <f ca="1">IF(MONTH(C162)=1,(((MIN(MAX(0,((SUM(Z150:Z161)-'Retirement Planning'!$I$53-'Retirement Planning'!$I$54)-'Retirement Planning'!$J$51)*'Retirement Planning'!$I$52))))+(MIN(MAX(0,((SUM(Z150:Z161)-'Retirement Planning'!$I$53-'Retirement Planning'!$I$54)-'Retirement Planning'!$J$50)*'Retirement Planning'!$I$51),('Retirement Planning'!$J$51-'Retirement Planning'!$J$50)*'Retirement Planning'!$I$51))+(MIN(MAX(0,((SUM(Z150:Z161)-'Retirement Planning'!$I$53-'Retirement Planning'!$I$54)-'Retirement Planning'!$J$49)*'Retirement Planning'!$I$50),('Retirement Planning'!$J$50-'Retirement Planning'!$J$49)*'Retirement Planning'!$I$50)+MIN(MAX(0,((SUM(Z150:Z161)-'Retirement Planning'!$I$53-'Retirement Planning'!$I$54)-'Retirement Planning'!$J$48)*'Retirement Planning'!$I$49),('Retirement Planning'!$J$49-'Retirement Planning'!$J$48)*'Retirement Planning'!$I$49)+MIN(((SUM(Z150:Z161)-'Retirement Planning'!$I$53-'Retirement Planning'!$I$54))*'Retirement Planning'!$I$48,('Retirement Planning'!$J$48)*'Retirement Planning'!$I$48))+(IF((SUM(Z150:Z161)-'Retirement Planning'!$I$54-'Retirement Planning'!$I$61)&gt;'Retirement Planning'!$J$59,(SUM(Z150:Z161)-'Retirement Planning'!$I$54-'Retirement Planning'!$I$61-'Retirement Planning'!$J$59)*'Retirement Planning'!$I$60+'Retirement Planning'!$K$59,IF((SUM(Z150:Z161)-'Retirement Planning'!$I$54-'Retirement Planning'!$I$61)&gt;'Retirement Planning'!$J$58,(SUM(Z150:Z161)-'Retirement Planning'!$I$54-'Retirement Planning'!$I$61-'Retirement Planning'!$J$58)*'Retirement Planning'!$I$59+'Retirement Planning'!$K$58,IF((SUM(Z150:Z161)-'Retirement Planning'!$I$54-'Retirement Planning'!$I$61)&gt;'Retirement Planning'!$J$57,(SUM(Z150:Z161)-'Retirement Planning'!$I$54-'Retirement Planning'!$I$61-'Retirement Planning'!$J$57)*'Retirement Planning'!$I$58+'Retirement Planning'!$K$57,IF((SUM(Z150:Z161)-'Retirement Planning'!$I$54-'Retirement Planning'!$I$61)&gt;'Retirement Planning'!$J$56,(SUM(Z150:Z161)-'Retirement Planning'!$I$54-'Retirement Planning'!$I$61-'Retirement Planning'!$J$56)*'Retirement Planning'!$I$57+'Retirement Planning'!$K$56,(SUM(Z150:Z161)-'Retirement Planning'!$I$54-'Retirement Planning'!$I$61)*'Retirement Planning'!$I$56))))))/12,AA161)</f>
        <v>1691.6952441767078</v>
      </c>
      <c r="AB162" s="104">
        <f t="shared" ca="1" si="49"/>
        <v>0.21210711203132804</v>
      </c>
      <c r="AC162" s="7">
        <f>IF(B162&lt;65,'Retirement Planning'!$J$28,0)</f>
        <v>0</v>
      </c>
      <c r="AD162" s="7">
        <f>IF(B162&lt;65,'Retirement Planning'!$J$29/12,0)</f>
        <v>0</v>
      </c>
      <c r="AE162" s="22">
        <f>'Retirement Planning'!$J$31/12</f>
        <v>58.333333333333336</v>
      </c>
      <c r="AF162" s="22">
        <f>'Retirement Planning'!$J$32/12</f>
        <v>66.666666666666671</v>
      </c>
      <c r="AG162" s="7">
        <f>IF($B162&gt;64.9,'Retirement Planning'!$J$39/12,0)</f>
        <v>183.33333333333334</v>
      </c>
      <c r="AH162" s="7">
        <f>IF($B162&gt;64.9,'Retirement Planning'!$J$40/12,0)</f>
        <v>258.33333333333331</v>
      </c>
      <c r="AI162" s="7">
        <f>IF($B162&gt;64.9,'Retirement Planning'!$J$41/12,0)</f>
        <v>558.33333333333337</v>
      </c>
      <c r="AJ162" s="7">
        <f t="shared" ca="1" si="59"/>
        <v>316.66666666666663</v>
      </c>
      <c r="AK162" s="3" t="str">
        <f t="shared" ca="1" si="60"/>
        <v>N/A</v>
      </c>
      <c r="AL162" s="6" t="str">
        <f t="shared" ca="1" si="61"/>
        <v>N/A</v>
      </c>
      <c r="AM162" s="7">
        <f t="shared" ca="1" si="62"/>
        <v>1.1368683772161603E-12</v>
      </c>
      <c r="AN162" s="7">
        <f t="shared" ca="1" si="63"/>
        <v>10661.450816750099</v>
      </c>
      <c r="AO162" s="7">
        <f t="shared" si="64"/>
        <v>1125</v>
      </c>
    </row>
    <row r="163" spans="1:41" x14ac:dyDescent="0.2">
      <c r="A163">
        <f t="shared" si="65"/>
        <v>50</v>
      </c>
      <c r="B163" s="5">
        <f t="shared" si="66"/>
        <v>69</v>
      </c>
      <c r="C163" s="56">
        <f t="shared" si="67"/>
        <v>51075</v>
      </c>
      <c r="D163" s="57">
        <f ca="1">IF(AND(B162&lt;59.5,OR(B163&gt;59.5,B163=59.5)),(D162-E162+J162-K162)*(1+'Retirement Planning'!$J$23/12),(D162-E162)*(1+'Retirement Planning'!$J$23/12))</f>
        <v>353044.7268835188</v>
      </c>
      <c r="E163" s="58">
        <f t="shared" ca="1" si="54"/>
        <v>1010.9298537985596</v>
      </c>
      <c r="F163" s="57">
        <f ca="1">IF(AND(OR(B163&gt;59.5,B163=59.5),B162&lt;59.5),(F162-G162+L162-M162+N162-O162)*(1+'Retirement Planning'!$J$23/12),(F162-G162)*(1+'Retirement Planning'!$J$23/12))</f>
        <v>1280796.738204126</v>
      </c>
      <c r="G163" s="58">
        <f ca="1">IF(AND($B$10&lt;55,B163&lt;59.5),'Retirement Planning'!$J$25,IF(OR(B163&gt;59.5,B163=59.5),MAX(0,MIN(F163,IF(D163&lt;2500,((Y163+AJ163+AA163))-X163,((Y163+AJ163+AA163)*'Retirement Planning'!$J$44)-X163))),0))</f>
        <v>6767.4251615675794</v>
      </c>
      <c r="H163" s="255">
        <f ca="1">IF(MONTH(C163)=1,IF(B163&gt;69.5,F163/(INDEX('Retirement Planning'!D$1:D$264,(160+INT(B163))))/12,0),IF(F163=0,0,H162))</f>
        <v>0</v>
      </c>
      <c r="I163" s="262">
        <f t="shared" ca="1" si="55"/>
        <v>0</v>
      </c>
      <c r="J163" s="254">
        <f ca="1">IF(AND(B162&lt;59.5,OR(B163=59.5,B163&gt;59.5)),0,(J162-K162)*(1+'Retirement Planning'!$J$23/12))</f>
        <v>0</v>
      </c>
      <c r="K163" s="58">
        <f t="shared" ca="1" si="56"/>
        <v>0</v>
      </c>
      <c r="L163" s="57">
        <f>IF(AND(OR(B163&gt;59.5,B163=59.5),B162&lt;59.5),0,(L162-M162)*(1+'Retirement Planning'!$J$23/12))</f>
        <v>0</v>
      </c>
      <c r="M163" s="59">
        <f>IF(AND($B$10&lt;55,B163&lt;59.5),0,IF(B163&lt;59.5,MAX(0,MIN((($Y163+$AJ163+AA163)*'Retirement Planning'!$J$44)-$G163-$X163,L163)),0))</f>
        <v>0</v>
      </c>
      <c r="N163" s="57">
        <f ca="1">(N162-O162)*(1+'Retirement Planning'!$J$23/12)</f>
        <v>0</v>
      </c>
      <c r="O163" s="59">
        <f ca="1">IF(B163&gt;59.5,MAX(0,MIN((AA163+$Y163+$AJ163)*(IF(D163&lt;(MIN(E151:E162)+1),1,'Retirement Planning'!$J$44))-M163-$G163-$X163-(IF(D163&lt;(MIN(E151:E162)+1),D163,0)),N163)),0)</f>
        <v>0</v>
      </c>
      <c r="P163" s="57">
        <f t="shared" si="68"/>
        <v>0</v>
      </c>
      <c r="Q163" s="58">
        <f t="shared" si="69"/>
        <v>0</v>
      </c>
      <c r="R163" s="57">
        <f ca="1">(R162-S162-T162)*(1+'Retirement Planning'!$J$23/12)</f>
        <v>374204.07095840113</v>
      </c>
      <c r="S163" s="58">
        <f t="shared" ca="1" si="70"/>
        <v>808.33333333333337</v>
      </c>
      <c r="T163" s="273">
        <f t="shared" ca="1" si="57"/>
        <v>9.0949470177292824E-13</v>
      </c>
      <c r="U163" s="57">
        <f ca="1">(U162-V162)*(1+'Retirement Planning'!$J$23/12)</f>
        <v>293420.07586456172</v>
      </c>
      <c r="V163" s="24">
        <f ca="1">IF(AND($B$10&lt;55,B163&lt;59.5),MIN(U163,MAX(0,(Y163+AA163+AJ163-G163)*'Retirement Planning'!$J$45)),IF(B163&lt;59.5,(MIN(U163,MAX(0,((Y163+AA163+AJ163)-G163-M163)*'Retirement Planning'!$J$45))),MIN(U163,MAX(0,(Y163+AA163+AJ163-G163-M163-K163-X163)*'Retirement Planning'!$J$45))))</f>
        <v>861.16246805062542</v>
      </c>
      <c r="W163" s="7">
        <f t="shared" ca="1" si="58"/>
        <v>2301465.6119106077</v>
      </c>
      <c r="X163" s="7">
        <f>(IF(B163&gt;'Retirement Planning'!$J$34,IF('Retirement Planning'!$J$34=70,'Retirement Planning'!$J$37/12,IF('Retirement Planning'!$J$34=67,'Retirement Planning'!$J$36/12,'Retirement Planning'!$J$35/12)),0))*'Retirement Planning'!$J$38</f>
        <v>1213.6000000000001</v>
      </c>
      <c r="Y163" s="7">
        <f ca="1">'Retirement Planning'!$F$35*((1+'Retirement Planning'!$J$24)^(YEAR('Projected Retirement Drawdown'!C163)-YEAR(TODAY())))</f>
        <v>7844.755572573391</v>
      </c>
      <c r="Z163" s="7">
        <f ca="1">G163+M163+O163+0.85*X163+V163*'Retirement Planning'!$J$46+T163</f>
        <v>8272.6245189954243</v>
      </c>
      <c r="AA163" s="7">
        <f ca="1">IF(MONTH(C163)=1,(((MIN(MAX(0,((SUM(Z151:Z162)-'Retirement Planning'!$I$53-'Retirement Planning'!$I$54)-'Retirement Planning'!$J$51)*'Retirement Planning'!$I$52))))+(MIN(MAX(0,((SUM(Z151:Z162)-'Retirement Planning'!$I$53-'Retirement Planning'!$I$54)-'Retirement Planning'!$J$50)*'Retirement Planning'!$I$51),('Retirement Planning'!$J$51-'Retirement Planning'!$J$50)*'Retirement Planning'!$I$51))+(MIN(MAX(0,((SUM(Z151:Z162)-'Retirement Planning'!$I$53-'Retirement Planning'!$I$54)-'Retirement Planning'!$J$49)*'Retirement Planning'!$I$50),('Retirement Planning'!$J$50-'Retirement Planning'!$J$49)*'Retirement Planning'!$I$50)+MIN(MAX(0,((SUM(Z151:Z162)-'Retirement Planning'!$I$53-'Retirement Planning'!$I$54)-'Retirement Planning'!$J$48)*'Retirement Planning'!$I$49),('Retirement Planning'!$J$49-'Retirement Planning'!$J$48)*'Retirement Planning'!$I$49)+MIN(((SUM(Z151:Z162)-'Retirement Planning'!$I$53-'Retirement Planning'!$I$54))*'Retirement Planning'!$I$48,('Retirement Planning'!$J$48)*'Retirement Planning'!$I$48))+(IF((SUM(Z151:Z162)-'Retirement Planning'!$I$54-'Retirement Planning'!$I$61)&gt;'Retirement Planning'!$J$59,(SUM(Z151:Z162)-'Retirement Planning'!$I$54-'Retirement Planning'!$I$61-'Retirement Planning'!$J$59)*'Retirement Planning'!$I$60+'Retirement Planning'!$K$59,IF((SUM(Z151:Z162)-'Retirement Planning'!$I$54-'Retirement Planning'!$I$61)&gt;'Retirement Planning'!$J$58,(SUM(Z151:Z162)-'Retirement Planning'!$I$54-'Retirement Planning'!$I$61-'Retirement Planning'!$J$58)*'Retirement Planning'!$I$59+'Retirement Planning'!$K$58,IF((SUM(Z151:Z162)-'Retirement Planning'!$I$54-'Retirement Planning'!$I$61)&gt;'Retirement Planning'!$J$57,(SUM(Z151:Z162)-'Retirement Planning'!$I$54-'Retirement Planning'!$I$61-'Retirement Planning'!$J$57)*'Retirement Planning'!$I$58+'Retirement Planning'!$K$57,IF((SUM(Z151:Z162)-'Retirement Planning'!$I$54-'Retirement Planning'!$I$61)&gt;'Retirement Planning'!$J$56,(SUM(Z151:Z162)-'Retirement Planning'!$I$54-'Retirement Planning'!$I$61-'Retirement Planning'!$J$56)*'Retirement Planning'!$I$57+'Retirement Planning'!$K$56,(SUM(Z151:Z162)-'Retirement Planning'!$I$54-'Retirement Planning'!$I$61)*'Retirement Planning'!$I$56))))))/12,AA162)</f>
        <v>1691.6952441767078</v>
      </c>
      <c r="AB163" s="104">
        <f t="shared" ca="1" si="49"/>
        <v>0.21210711203132804</v>
      </c>
      <c r="AC163" s="7">
        <f>IF(B163&lt;65,'Retirement Planning'!$J$28,0)</f>
        <v>0</v>
      </c>
      <c r="AD163" s="7">
        <f>IF(B163&lt;65,'Retirement Planning'!$J$29/12,0)</f>
        <v>0</v>
      </c>
      <c r="AE163" s="22">
        <f>'Retirement Planning'!$J$31/12</f>
        <v>58.333333333333336</v>
      </c>
      <c r="AF163" s="22">
        <f>'Retirement Planning'!$J$32/12</f>
        <v>66.666666666666671</v>
      </c>
      <c r="AG163" s="7">
        <f>IF($B163&gt;64.9,'Retirement Planning'!$J$39/12,0)</f>
        <v>183.33333333333334</v>
      </c>
      <c r="AH163" s="7">
        <f>IF($B163&gt;64.9,'Retirement Planning'!$J$40/12,0)</f>
        <v>258.33333333333331</v>
      </c>
      <c r="AI163" s="7">
        <f>IF($B163&gt;64.9,'Retirement Planning'!$J$41/12,0)</f>
        <v>558.33333333333337</v>
      </c>
      <c r="AJ163" s="7">
        <f t="shared" ca="1" si="59"/>
        <v>316.66666666666663</v>
      </c>
      <c r="AK163" s="3" t="str">
        <f t="shared" ca="1" si="60"/>
        <v>N/A</v>
      </c>
      <c r="AL163" s="6" t="str">
        <f t="shared" ca="1" si="61"/>
        <v>N/A</v>
      </c>
      <c r="AM163" s="7">
        <f t="shared" ca="1" si="62"/>
        <v>1.1368683772161603E-12</v>
      </c>
      <c r="AN163" s="7">
        <f t="shared" ca="1" si="63"/>
        <v>10661.450816750099</v>
      </c>
      <c r="AO163" s="7">
        <f t="shared" si="64"/>
        <v>1125</v>
      </c>
    </row>
    <row r="164" spans="1:41" x14ac:dyDescent="0.2">
      <c r="A164">
        <f t="shared" si="65"/>
        <v>50</v>
      </c>
      <c r="B164" s="5">
        <f t="shared" si="66"/>
        <v>69.099999999999994</v>
      </c>
      <c r="C164" s="56">
        <f t="shared" si="67"/>
        <v>51105</v>
      </c>
      <c r="D164" s="57">
        <f ca="1">IF(AND(B163&lt;59.5,OR(B164&gt;59.5,B164=59.5)),(D163-E163+J163-K163)*(1+'Retirement Planning'!$J$23/12),(D163-E163)*(1+'Retirement Planning'!$J$23/12))</f>
        <v>354527.36975868081</v>
      </c>
      <c r="E164" s="58">
        <f t="shared" ca="1" si="54"/>
        <v>1010.9298537985596</v>
      </c>
      <c r="F164" s="57">
        <f ca="1">IF(AND(OR(B164&gt;59.5,B164=59.5),B163&lt;59.5),(F163-G163+L163-M163+N163-O163)*(1+'Retirement Planning'!$J$23/12),(F163-G163)*(1+'Retirement Planning'!$J$23/12))</f>
        <v>1283053.6873432766</v>
      </c>
      <c r="G164" s="58">
        <f ca="1">IF(AND($B$10&lt;55,B164&lt;59.5),'Retirement Planning'!$J$25,IF(OR(B164&gt;59.5,B164=59.5),MAX(0,MIN(F164,IF(D164&lt;2500,((Y164+AJ164+AA164))-X164,((Y164+AJ164+AA164)*'Retirement Planning'!$J$44)-X164))),0))</f>
        <v>6767.4251615675794</v>
      </c>
      <c r="H164" s="255">
        <f ca="1">IF(MONTH(C164)=1,IF(B164&gt;69.5,F164/(INDEX('Retirement Planning'!D$1:D$264,(160+INT(B164))))/12,0),IF(F164=0,0,H163))</f>
        <v>0</v>
      </c>
      <c r="I164" s="262">
        <f t="shared" ca="1" si="55"/>
        <v>0</v>
      </c>
      <c r="J164" s="254">
        <f ca="1">IF(AND(B163&lt;59.5,OR(B164=59.5,B164&gt;59.5)),0,(J163-K163)*(1+'Retirement Planning'!$J$23/12))</f>
        <v>0</v>
      </c>
      <c r="K164" s="58">
        <f t="shared" ca="1" si="56"/>
        <v>0</v>
      </c>
      <c r="L164" s="57">
        <f>IF(AND(OR(B164&gt;59.5,B164=59.5),B163&lt;59.5),0,(L163-M163)*(1+'Retirement Planning'!$J$23/12))</f>
        <v>0</v>
      </c>
      <c r="M164" s="59">
        <f>IF(AND($B$10&lt;55,B164&lt;59.5),0,IF(B164&lt;59.5,MAX(0,MIN((($Y164+$AJ164+AA164)*'Retirement Planning'!$J$44)-$G164-$X164,L164)),0))</f>
        <v>0</v>
      </c>
      <c r="N164" s="57">
        <f ca="1">(N163-O163)*(1+'Retirement Planning'!$J$23/12)</f>
        <v>0</v>
      </c>
      <c r="O164" s="59">
        <f ca="1">IF(B164&gt;59.5,MAX(0,MIN((AA164+$Y164+$AJ164)*(IF(D164&lt;(MIN(E152:E163)+1),1,'Retirement Planning'!$J$44))-M164-$G164-$X164-(IF(D164&lt;(MIN(E152:E163)+1),D164,0)),N164)),0)</f>
        <v>0</v>
      </c>
      <c r="P164" s="57">
        <f t="shared" si="68"/>
        <v>0</v>
      </c>
      <c r="Q164" s="58">
        <f t="shared" si="69"/>
        <v>0</v>
      </c>
      <c r="R164" s="57">
        <f ca="1">(R163-S163-T163)*(1+'Retirement Planning'!$J$23/12)</f>
        <v>376040.62409991206</v>
      </c>
      <c r="S164" s="58">
        <f t="shared" ca="1" si="70"/>
        <v>808.33333333333337</v>
      </c>
      <c r="T164" s="273">
        <f t="shared" ca="1" si="57"/>
        <v>9.0949470177292824E-13</v>
      </c>
      <c r="U164" s="57">
        <f ca="1">(U163-V163)*(1+'Retirement Planning'!$J$23/12)</f>
        <v>294631.20569973637</v>
      </c>
      <c r="V164" s="24">
        <f ca="1">IF(AND($B$10&lt;55,B164&lt;59.5),MIN(U164,MAX(0,(Y164+AA164+AJ164-G164)*'Retirement Planning'!$J$45)),IF(B164&lt;59.5,(MIN(U164,MAX(0,((Y164+AA164+AJ164)-G164-M164)*'Retirement Planning'!$J$45))),MIN(U164,MAX(0,(Y164+AA164+AJ164-G164-M164-K164-X164)*'Retirement Planning'!$J$45))))</f>
        <v>861.16246805062542</v>
      </c>
      <c r="W164" s="7">
        <f t="shared" ca="1" si="58"/>
        <v>2308252.8869016059</v>
      </c>
      <c r="X164" s="7">
        <f>(IF(B164&gt;'Retirement Planning'!$J$34,IF('Retirement Planning'!$J$34=70,'Retirement Planning'!$J$37/12,IF('Retirement Planning'!$J$34=67,'Retirement Planning'!$J$36/12,'Retirement Planning'!$J$35/12)),0))*'Retirement Planning'!$J$38</f>
        <v>1213.6000000000001</v>
      </c>
      <c r="Y164" s="7">
        <f ca="1">'Retirement Planning'!$F$35*((1+'Retirement Planning'!$J$24)^(YEAR('Projected Retirement Drawdown'!C164)-YEAR(TODAY())))</f>
        <v>7844.755572573391</v>
      </c>
      <c r="Z164" s="7">
        <f ca="1">G164+M164+O164+0.85*X164+V164*'Retirement Planning'!$J$46+T164</f>
        <v>8272.6245189954243</v>
      </c>
      <c r="AA164" s="7">
        <f ca="1">IF(MONTH(C164)=1,(((MIN(MAX(0,((SUM(Z152:Z163)-'Retirement Planning'!$I$53-'Retirement Planning'!$I$54)-'Retirement Planning'!$J$51)*'Retirement Planning'!$I$52))))+(MIN(MAX(0,((SUM(Z152:Z163)-'Retirement Planning'!$I$53-'Retirement Planning'!$I$54)-'Retirement Planning'!$J$50)*'Retirement Planning'!$I$51),('Retirement Planning'!$J$51-'Retirement Planning'!$J$50)*'Retirement Planning'!$I$51))+(MIN(MAX(0,((SUM(Z152:Z163)-'Retirement Planning'!$I$53-'Retirement Planning'!$I$54)-'Retirement Planning'!$J$49)*'Retirement Planning'!$I$50),('Retirement Planning'!$J$50-'Retirement Planning'!$J$49)*'Retirement Planning'!$I$50)+MIN(MAX(0,((SUM(Z152:Z163)-'Retirement Planning'!$I$53-'Retirement Planning'!$I$54)-'Retirement Planning'!$J$48)*'Retirement Planning'!$I$49),('Retirement Planning'!$J$49-'Retirement Planning'!$J$48)*'Retirement Planning'!$I$49)+MIN(((SUM(Z152:Z163)-'Retirement Planning'!$I$53-'Retirement Planning'!$I$54))*'Retirement Planning'!$I$48,('Retirement Planning'!$J$48)*'Retirement Planning'!$I$48))+(IF((SUM(Z152:Z163)-'Retirement Planning'!$I$54-'Retirement Planning'!$I$61)&gt;'Retirement Planning'!$J$59,(SUM(Z152:Z163)-'Retirement Planning'!$I$54-'Retirement Planning'!$I$61-'Retirement Planning'!$J$59)*'Retirement Planning'!$I$60+'Retirement Planning'!$K$59,IF((SUM(Z152:Z163)-'Retirement Planning'!$I$54-'Retirement Planning'!$I$61)&gt;'Retirement Planning'!$J$58,(SUM(Z152:Z163)-'Retirement Planning'!$I$54-'Retirement Planning'!$I$61-'Retirement Planning'!$J$58)*'Retirement Planning'!$I$59+'Retirement Planning'!$K$58,IF((SUM(Z152:Z163)-'Retirement Planning'!$I$54-'Retirement Planning'!$I$61)&gt;'Retirement Planning'!$J$57,(SUM(Z152:Z163)-'Retirement Planning'!$I$54-'Retirement Planning'!$I$61-'Retirement Planning'!$J$57)*'Retirement Planning'!$I$58+'Retirement Planning'!$K$57,IF((SUM(Z152:Z163)-'Retirement Planning'!$I$54-'Retirement Planning'!$I$61)&gt;'Retirement Planning'!$J$56,(SUM(Z152:Z163)-'Retirement Planning'!$I$54-'Retirement Planning'!$I$61-'Retirement Planning'!$J$56)*'Retirement Planning'!$I$57+'Retirement Planning'!$K$56,(SUM(Z152:Z163)-'Retirement Planning'!$I$54-'Retirement Planning'!$I$61)*'Retirement Planning'!$I$56))))))/12,AA163)</f>
        <v>1691.6952441767078</v>
      </c>
      <c r="AB164" s="104">
        <f t="shared" ca="1" si="49"/>
        <v>0.21210711203132804</v>
      </c>
      <c r="AC164" s="7">
        <f>IF(B164&lt;65,'Retirement Planning'!$J$28,0)</f>
        <v>0</v>
      </c>
      <c r="AD164" s="7">
        <f>IF(B164&lt;65,'Retirement Planning'!$J$29/12,0)</f>
        <v>0</v>
      </c>
      <c r="AE164" s="22">
        <f>'Retirement Planning'!$J$31/12</f>
        <v>58.333333333333336</v>
      </c>
      <c r="AF164" s="22">
        <f>'Retirement Planning'!$J$32/12</f>
        <v>66.666666666666671</v>
      </c>
      <c r="AG164" s="7">
        <f>IF($B164&gt;64.9,'Retirement Planning'!$J$39/12,0)</f>
        <v>183.33333333333334</v>
      </c>
      <c r="AH164" s="7">
        <f>IF($B164&gt;64.9,'Retirement Planning'!$J$40/12,0)</f>
        <v>258.33333333333331</v>
      </c>
      <c r="AI164" s="7">
        <f>IF($B164&gt;64.9,'Retirement Planning'!$J$41/12,0)</f>
        <v>558.33333333333337</v>
      </c>
      <c r="AJ164" s="7">
        <f t="shared" ca="1" si="59"/>
        <v>316.66666666666663</v>
      </c>
      <c r="AK164" s="3" t="str">
        <f t="shared" ca="1" si="60"/>
        <v>N/A</v>
      </c>
      <c r="AL164" s="6" t="str">
        <f t="shared" ca="1" si="61"/>
        <v>N/A</v>
      </c>
      <c r="AM164" s="7">
        <f t="shared" ca="1" si="62"/>
        <v>1.1368683772161603E-12</v>
      </c>
      <c r="AN164" s="7">
        <f t="shared" ca="1" si="63"/>
        <v>10661.450816750099</v>
      </c>
      <c r="AO164" s="7">
        <f t="shared" si="64"/>
        <v>1125</v>
      </c>
    </row>
    <row r="165" spans="1:41" x14ac:dyDescent="0.2">
      <c r="A165">
        <f t="shared" si="65"/>
        <v>50</v>
      </c>
      <c r="B165" s="5">
        <f t="shared" si="66"/>
        <v>69.2</v>
      </c>
      <c r="C165" s="56">
        <f t="shared" si="67"/>
        <v>51136</v>
      </c>
      <c r="D165" s="57">
        <f ca="1">IF(AND(B164&lt;59.5,OR(B165&gt;59.5,B165=59.5)),(D164-E164+J164-K164)*(1+'Retirement Planning'!$J$23/12),(D164-E164)*(1+'Retirement Planning'!$J$23/12))</f>
        <v>356020.51468754181</v>
      </c>
      <c r="E165" s="58">
        <f t="shared" ca="1" si="54"/>
        <v>1048.0092315068878</v>
      </c>
      <c r="F165" s="57">
        <f ca="1">IF(AND(OR(B165&gt;59.5,B165=59.5),B164&lt;59.5),(F164-G164+L164-M164+N164-O164)*(1+'Retirement Planning'!$J$23/12),(F164-G164)*(1+'Retirement Planning'!$J$23/12))</f>
        <v>1285326.6232054962</v>
      </c>
      <c r="G165" s="58">
        <f ca="1">IF(AND($B$10&lt;55,B165&lt;59.5),'Retirement Planning'!$J$25,IF(OR(B165&gt;59.5,B165=59.5),MAX(0,MIN(F165,IF(D165&lt;2500,((Y165+AJ165+AA165))-X165,((Y165+AJ165+AA165)*'Retirement Planning'!$J$44)-X165))),0))</f>
        <v>7060.1570908438534</v>
      </c>
      <c r="H165" s="255">
        <f>IF(MONTH(C165)=1,IF(B165&gt;69.5,F165/(INDEX('Retirement Planning'!D$1:D$264,(160+INT(B165))))/12,0),IF(F165=0,0,H164))</f>
        <v>0</v>
      </c>
      <c r="I165" s="262">
        <f t="shared" ca="1" si="55"/>
        <v>0</v>
      </c>
      <c r="J165" s="254">
        <f ca="1">IF(AND(B164&lt;59.5,OR(B165=59.5,B165&gt;59.5)),0,(J164-K164)*(1+'Retirement Planning'!$J$23/12))</f>
        <v>0</v>
      </c>
      <c r="K165" s="58">
        <f t="shared" ca="1" si="56"/>
        <v>0</v>
      </c>
      <c r="L165" s="57">
        <f>IF(AND(OR(B165&gt;59.5,B165=59.5),B164&lt;59.5),0,(L164-M164)*(1+'Retirement Planning'!$J$23/12))</f>
        <v>0</v>
      </c>
      <c r="M165" s="59">
        <f>IF(AND($B$10&lt;55,B165&lt;59.5),0,IF(B165&lt;59.5,MAX(0,MIN((($Y165+$AJ165+AA165)*'Retirement Planning'!$J$44)-$G165-$X165,L165)),0))</f>
        <v>0</v>
      </c>
      <c r="N165" s="57">
        <f ca="1">(N164-O164)*(1+'Retirement Planning'!$J$23/12)</f>
        <v>0</v>
      </c>
      <c r="O165" s="59">
        <f ca="1">IF(B165&gt;59.5,MAX(0,MIN((AA165+$Y165+$AJ165)*(IF(D165&lt;(MIN(E153:E164)+1),1,'Retirement Planning'!$J$44))-M165-$G165-$X165-(IF(D165&lt;(MIN(E153:E164)+1),D165,0)),N165)),0)</f>
        <v>0</v>
      </c>
      <c r="P165" s="57">
        <f t="shared" si="68"/>
        <v>0</v>
      </c>
      <c r="Q165" s="58">
        <f t="shared" si="69"/>
        <v>0</v>
      </c>
      <c r="R165" s="57">
        <f ca="1">(R164-S164-T164)*(1+'Retirement Planning'!$J$23/12)</f>
        <v>377890.18615950871</v>
      </c>
      <c r="S165" s="58">
        <f t="shared" ca="1" si="70"/>
        <v>808.33333333333337</v>
      </c>
      <c r="T165" s="273">
        <f t="shared" ca="1" si="57"/>
        <v>-2.2737367544323206E-13</v>
      </c>
      <c r="U165" s="57">
        <f ca="1">(U164-V164)*(1+'Retirement Planning'!$J$23/12)</f>
        <v>295850.91437124356</v>
      </c>
      <c r="V165" s="24">
        <f ca="1">IF(AND($B$10&lt;55,B165&lt;59.5),MIN(U165,MAX(0,(Y165+AA165+AJ165-G165)*'Retirement Planning'!$J$45)),IF(B165&lt;59.5,(MIN(U165,MAX(0,((Y165+AA165+AJ165)-G165-M165)*'Retirement Planning'!$J$45))),MIN(U165,MAX(0,(Y165+AA165+AJ165-G165-M165-K165-X165)*'Retirement Planning'!$J$45))))</f>
        <v>892.74860461697881</v>
      </c>
      <c r="W165" s="7">
        <f t="shared" ca="1" si="58"/>
        <v>2315088.2384237903</v>
      </c>
      <c r="X165" s="7">
        <f>(IF(B165&gt;'Retirement Planning'!$J$34,IF('Retirement Planning'!$J$34=70,'Retirement Planning'!$J$37/12,IF('Retirement Planning'!$J$34=67,'Retirement Planning'!$J$36/12,'Retirement Planning'!$J$35/12)),0))*'Retirement Planning'!$J$38</f>
        <v>1213.6000000000001</v>
      </c>
      <c r="Y165" s="7">
        <f ca="1">'Retirement Planning'!$F$35*((1+'Retirement Planning'!$J$24)^(YEAR('Projected Retirement Drawdown'!C165)-YEAR(TODAY())))</f>
        <v>8119.3220176134591</v>
      </c>
      <c r="Z165" s="7">
        <f ca="1">G165+M165+O165+0.85*X165+V165*'Retirement Planning'!$J$46+T165</f>
        <v>8582.7288233831914</v>
      </c>
      <c r="AA165" s="7">
        <f ca="1">IF(MONTH(C165)=1,(((MIN(MAX(0,((SUM(Z153:Z164)-'Retirement Planning'!$I$53-'Retirement Planning'!$I$54)-'Retirement Planning'!$J$51)*'Retirement Planning'!$I$52))))+(MIN(MAX(0,((SUM(Z153:Z164)-'Retirement Planning'!$I$53-'Retirement Planning'!$I$54)-'Retirement Planning'!$J$50)*'Retirement Planning'!$I$51),('Retirement Planning'!$J$51-'Retirement Planning'!$J$50)*'Retirement Planning'!$I$51))+(MIN(MAX(0,((SUM(Z153:Z164)-'Retirement Planning'!$I$53-'Retirement Planning'!$I$54)-'Retirement Planning'!$J$49)*'Retirement Planning'!$I$50),('Retirement Planning'!$J$50-'Retirement Planning'!$J$49)*'Retirement Planning'!$I$50)+MIN(MAX(0,((SUM(Z153:Z164)-'Retirement Planning'!$I$53-'Retirement Planning'!$I$54)-'Retirement Planning'!$J$48)*'Retirement Planning'!$I$49),('Retirement Planning'!$J$49-'Retirement Planning'!$J$48)*'Retirement Planning'!$I$49)+MIN(((SUM(Z153:Z164)-'Retirement Planning'!$I$53-'Retirement Planning'!$I$54))*'Retirement Planning'!$I$48,('Retirement Planning'!$J$48)*'Retirement Planning'!$I$48))+(IF((SUM(Z153:Z164)-'Retirement Planning'!$I$54-'Retirement Planning'!$I$61)&gt;'Retirement Planning'!$J$59,(SUM(Z153:Z164)-'Retirement Planning'!$I$54-'Retirement Planning'!$I$61-'Retirement Planning'!$J$59)*'Retirement Planning'!$I$60+'Retirement Planning'!$K$59,IF((SUM(Z153:Z164)-'Retirement Planning'!$I$54-'Retirement Planning'!$I$61)&gt;'Retirement Planning'!$J$58,(SUM(Z153:Z164)-'Retirement Planning'!$I$54-'Retirement Planning'!$I$61-'Retirement Planning'!$J$58)*'Retirement Planning'!$I$59+'Retirement Planning'!$K$58,IF((SUM(Z153:Z164)-'Retirement Planning'!$I$54-'Retirement Planning'!$I$61)&gt;'Retirement Planning'!$J$57,(SUM(Z153:Z164)-'Retirement Planning'!$I$54-'Retirement Planning'!$I$61-'Retirement Planning'!$J$57)*'Retirement Planning'!$I$58+'Retirement Planning'!$K$57,IF((SUM(Z153:Z164)-'Retirement Planning'!$I$54-'Retirement Planning'!$I$61)&gt;'Retirement Planning'!$J$56,(SUM(Z153:Z164)-'Retirement Planning'!$I$54-'Retirement Planning'!$I$61-'Retirement Planning'!$J$56)*'Retirement Planning'!$I$57+'Retirement Planning'!$K$56,(SUM(Z153:Z164)-'Retirement Planning'!$I$54-'Retirement Planning'!$I$61)*'Retirement Planning'!$I$56))))))/12,AA164)</f>
        <v>1778.5262426875945</v>
      </c>
      <c r="AB165" s="104">
        <f t="shared" ref="AB165" ca="1" si="75">SUM(AA165:AA176)/SUM(Z153:Z164)</f>
        <v>0.21498935901221933</v>
      </c>
      <c r="AC165" s="7">
        <f>IF(B165&lt;65,'Retirement Planning'!$J$28,0)</f>
        <v>0</v>
      </c>
      <c r="AD165" s="7">
        <f>IF(B165&lt;65,'Retirement Planning'!$J$29/12,0)</f>
        <v>0</v>
      </c>
      <c r="AE165" s="22">
        <f>'Retirement Planning'!$J$31/12</f>
        <v>58.333333333333336</v>
      </c>
      <c r="AF165" s="22">
        <f>'Retirement Planning'!$J$32/12</f>
        <v>66.666666666666671</v>
      </c>
      <c r="AG165" s="7">
        <f>IF($B165&gt;64.9,'Retirement Planning'!$J$39/12,0)</f>
        <v>183.33333333333334</v>
      </c>
      <c r="AH165" s="7">
        <f>IF($B165&gt;64.9,'Retirement Planning'!$J$40/12,0)</f>
        <v>258.33333333333331</v>
      </c>
      <c r="AI165" s="7">
        <f>IF($B165&gt;64.9,'Retirement Planning'!$J$41/12,0)</f>
        <v>558.33333333333337</v>
      </c>
      <c r="AJ165" s="7">
        <f t="shared" ca="1" si="59"/>
        <v>316.66666666666663</v>
      </c>
      <c r="AK165" s="3" t="str">
        <f t="shared" ca="1" si="60"/>
        <v>N/A</v>
      </c>
      <c r="AL165" s="6" t="str">
        <f t="shared" ca="1" si="61"/>
        <v>N/A</v>
      </c>
      <c r="AM165" s="7">
        <f t="shared" ca="1" si="62"/>
        <v>2.0463630789890885E-12</v>
      </c>
      <c r="AN165" s="7">
        <f t="shared" ca="1" si="63"/>
        <v>11022.848260301053</v>
      </c>
      <c r="AO165" s="7">
        <f t="shared" si="64"/>
        <v>1125</v>
      </c>
    </row>
    <row r="166" spans="1:41" x14ac:dyDescent="0.2">
      <c r="A166">
        <f t="shared" si="65"/>
        <v>50</v>
      </c>
      <c r="B166" s="5">
        <f t="shared" si="66"/>
        <v>69.3</v>
      </c>
      <c r="C166" s="56">
        <f t="shared" si="67"/>
        <v>51167</v>
      </c>
      <c r="D166" s="57">
        <f ca="1">IF(AND(B165&lt;59.5,OR(B166&gt;59.5,B166=59.5)),(D165-E165+J165-K165)*(1+'Retirement Planning'!$J$23/12),(D165-E165)*(1+'Retirement Planning'!$J$23/12))</f>
        <v>357486.8940363485</v>
      </c>
      <c r="E166" s="58">
        <f t="shared" ca="1" si="54"/>
        <v>1048.0092315068878</v>
      </c>
      <c r="F166" s="57">
        <f ca="1">IF(AND(OR(B166&gt;59.5,B166=59.5),B165&lt;59.5),(F165-G165+L165-M165+N165-O165)*(1+'Retirement Planning'!$J$23/12),(F165-G165)*(1+'Retirement Planning'!$J$23/12))</f>
        <v>1287320.8535829645</v>
      </c>
      <c r="G166" s="58">
        <f ca="1">IF(AND($B$10&lt;55,B166&lt;59.5),'Retirement Planning'!$J$25,IF(OR(B166&gt;59.5,B166=59.5),MAX(0,MIN(F166,IF(D166&lt;2500,((Y166+AJ166+AA166))-X166,((Y166+AJ166+AA166)*'Retirement Planning'!$J$44)-X166))),0))</f>
        <v>7060.1570908438534</v>
      </c>
      <c r="H166" s="255">
        <f ca="1">IF(MONTH(C166)=1,IF(B166&gt;69.5,F166/(INDEX('Retirement Planning'!D$1:D$264,(160+INT(B166))))/12,0),IF(F166=0,0,H165))</f>
        <v>0</v>
      </c>
      <c r="I166" s="262">
        <f t="shared" ca="1" si="55"/>
        <v>0</v>
      </c>
      <c r="J166" s="254">
        <f ca="1">IF(AND(B165&lt;59.5,OR(B166=59.5,B166&gt;59.5)),0,(J165-K165)*(1+'Retirement Planning'!$J$23/12))</f>
        <v>0</v>
      </c>
      <c r="K166" s="58">
        <f t="shared" ca="1" si="56"/>
        <v>0</v>
      </c>
      <c r="L166" s="57">
        <f>IF(AND(OR(B166&gt;59.5,B166=59.5),B165&lt;59.5),0,(L165-M165)*(1+'Retirement Planning'!$J$23/12))</f>
        <v>0</v>
      </c>
      <c r="M166" s="59">
        <f>IF(AND($B$10&lt;55,B166&lt;59.5),0,IF(B166&lt;59.5,MAX(0,MIN((($Y166+$AJ166+AA166)*'Retirement Planning'!$J$44)-$G166-$X166,L166)),0))</f>
        <v>0</v>
      </c>
      <c r="N166" s="57">
        <f ca="1">(N165-O165)*(1+'Retirement Planning'!$J$23/12)</f>
        <v>0</v>
      </c>
      <c r="O166" s="59">
        <f ca="1">IF(B166&gt;59.5,MAX(0,MIN((AA166+$Y166+$AJ166)*(IF(D166&lt;(MIN(E154:E165)+1),1,'Retirement Planning'!$J$44))-M166-$G166-$X166-(IF(D166&lt;(MIN(E154:E165)+1),D166,0)),N166)),0)</f>
        <v>0</v>
      </c>
      <c r="P166" s="57">
        <f t="shared" si="68"/>
        <v>0</v>
      </c>
      <c r="Q166" s="58">
        <f t="shared" si="69"/>
        <v>0</v>
      </c>
      <c r="R166" s="57">
        <f ca="1">(R165-S165-T165)*(1+'Retirement Planning'!$J$23/12)</f>
        <v>379752.84928369412</v>
      </c>
      <c r="S166" s="58">
        <f t="shared" ca="1" si="70"/>
        <v>808.33333333333337</v>
      </c>
      <c r="T166" s="273">
        <f t="shared" ca="1" si="57"/>
        <v>-2.2737367544323206E-13</v>
      </c>
      <c r="U166" s="57">
        <f ca="1">(U165-V165)*(1+'Retirement Planning'!$J$23/12)</f>
        <v>297047.45277414023</v>
      </c>
      <c r="V166" s="24">
        <f ca="1">IF(AND($B$10&lt;55,B166&lt;59.5),MIN(U166,MAX(0,(Y166+AA166+AJ166-G166)*'Retirement Planning'!$J$45)),IF(B166&lt;59.5,(MIN(U166,MAX(0,((Y166+AA166+AJ166)-G166-M166)*'Retirement Planning'!$J$45))),MIN(U166,MAX(0,(Y166+AA166+AJ166-G166-M166-K166-X166)*'Retirement Planning'!$J$45))))</f>
        <v>892.74860461697881</v>
      </c>
      <c r="W166" s="7">
        <f t="shared" ca="1" si="58"/>
        <v>2321608.0496771471</v>
      </c>
      <c r="X166" s="7">
        <f>(IF(B166&gt;'Retirement Planning'!$J$34,IF('Retirement Planning'!$J$34=70,'Retirement Planning'!$J$37/12,IF('Retirement Planning'!$J$34=67,'Retirement Planning'!$J$36/12,'Retirement Planning'!$J$35/12)),0))*'Retirement Planning'!$J$38</f>
        <v>1213.6000000000001</v>
      </c>
      <c r="Y166" s="7">
        <f ca="1">'Retirement Planning'!$F$35*((1+'Retirement Planning'!$J$24)^(YEAR('Projected Retirement Drawdown'!C166)-YEAR(TODAY())))</f>
        <v>8119.3220176134591</v>
      </c>
      <c r="Z166" s="7">
        <f ca="1">G166+M166+O166+0.85*X166+V166*'Retirement Planning'!$J$46+T166</f>
        <v>8582.7288233831914</v>
      </c>
      <c r="AA166" s="7">
        <f ca="1">IF(MONTH(C166)=1,(((MIN(MAX(0,((SUM(Z154:Z165)-'Retirement Planning'!$I$53-'Retirement Planning'!$I$54)-'Retirement Planning'!$J$51)*'Retirement Planning'!$I$52))))+(MIN(MAX(0,((SUM(Z154:Z165)-'Retirement Planning'!$I$53-'Retirement Planning'!$I$54)-'Retirement Planning'!$J$50)*'Retirement Planning'!$I$51),('Retirement Planning'!$J$51-'Retirement Planning'!$J$50)*'Retirement Planning'!$I$51))+(MIN(MAX(0,((SUM(Z154:Z165)-'Retirement Planning'!$I$53-'Retirement Planning'!$I$54)-'Retirement Planning'!$J$49)*'Retirement Planning'!$I$50),('Retirement Planning'!$J$50-'Retirement Planning'!$J$49)*'Retirement Planning'!$I$50)+MIN(MAX(0,((SUM(Z154:Z165)-'Retirement Planning'!$I$53-'Retirement Planning'!$I$54)-'Retirement Planning'!$J$48)*'Retirement Planning'!$I$49),('Retirement Planning'!$J$49-'Retirement Planning'!$J$48)*'Retirement Planning'!$I$49)+MIN(((SUM(Z154:Z165)-'Retirement Planning'!$I$53-'Retirement Planning'!$I$54))*'Retirement Planning'!$I$48,('Retirement Planning'!$J$48)*'Retirement Planning'!$I$48))+(IF((SUM(Z154:Z165)-'Retirement Planning'!$I$54-'Retirement Planning'!$I$61)&gt;'Retirement Planning'!$J$59,(SUM(Z154:Z165)-'Retirement Planning'!$I$54-'Retirement Planning'!$I$61-'Retirement Planning'!$J$59)*'Retirement Planning'!$I$60+'Retirement Planning'!$K$59,IF((SUM(Z154:Z165)-'Retirement Planning'!$I$54-'Retirement Planning'!$I$61)&gt;'Retirement Planning'!$J$58,(SUM(Z154:Z165)-'Retirement Planning'!$I$54-'Retirement Planning'!$I$61-'Retirement Planning'!$J$58)*'Retirement Planning'!$I$59+'Retirement Planning'!$K$58,IF((SUM(Z154:Z165)-'Retirement Planning'!$I$54-'Retirement Planning'!$I$61)&gt;'Retirement Planning'!$J$57,(SUM(Z154:Z165)-'Retirement Planning'!$I$54-'Retirement Planning'!$I$61-'Retirement Planning'!$J$57)*'Retirement Planning'!$I$58+'Retirement Planning'!$K$57,IF((SUM(Z154:Z165)-'Retirement Planning'!$I$54-'Retirement Planning'!$I$61)&gt;'Retirement Planning'!$J$56,(SUM(Z154:Z165)-'Retirement Planning'!$I$54-'Retirement Planning'!$I$61-'Retirement Planning'!$J$56)*'Retirement Planning'!$I$57+'Retirement Planning'!$K$56,(SUM(Z154:Z165)-'Retirement Planning'!$I$54-'Retirement Planning'!$I$61)*'Retirement Planning'!$I$56))))))/12,AA165)</f>
        <v>1778.5262426875945</v>
      </c>
      <c r="AB166" s="104">
        <f t="shared" ref="AB166:AB229" ca="1" si="76">AB165</f>
        <v>0.21498935901221933</v>
      </c>
      <c r="AC166" s="7">
        <f>IF(B166&lt;65,'Retirement Planning'!$J$28,0)</f>
        <v>0</v>
      </c>
      <c r="AD166" s="7">
        <f>IF(B166&lt;65,'Retirement Planning'!$J$29/12,0)</f>
        <v>0</v>
      </c>
      <c r="AE166" s="22">
        <f>'Retirement Planning'!$J$31/12</f>
        <v>58.333333333333336</v>
      </c>
      <c r="AF166" s="22">
        <f>'Retirement Planning'!$J$32/12</f>
        <v>66.666666666666671</v>
      </c>
      <c r="AG166" s="7">
        <f>IF($B166&gt;64.9,'Retirement Planning'!$J$39/12,0)</f>
        <v>183.33333333333334</v>
      </c>
      <c r="AH166" s="7">
        <f>IF($B166&gt;64.9,'Retirement Planning'!$J$40/12,0)</f>
        <v>258.33333333333331</v>
      </c>
      <c r="AI166" s="7">
        <f>IF($B166&gt;64.9,'Retirement Planning'!$J$41/12,0)</f>
        <v>558.33333333333337</v>
      </c>
      <c r="AJ166" s="7">
        <f t="shared" ca="1" si="59"/>
        <v>316.66666666666663</v>
      </c>
      <c r="AK166" s="3" t="str">
        <f t="shared" ca="1" si="60"/>
        <v>N/A</v>
      </c>
      <c r="AL166" s="6" t="str">
        <f t="shared" ca="1" si="61"/>
        <v>N/A</v>
      </c>
      <c r="AM166" s="7">
        <f t="shared" ca="1" si="62"/>
        <v>2.0463630789890885E-12</v>
      </c>
      <c r="AN166" s="7">
        <f t="shared" ca="1" si="63"/>
        <v>11022.848260301053</v>
      </c>
      <c r="AO166" s="7">
        <f t="shared" si="64"/>
        <v>1125</v>
      </c>
    </row>
    <row r="167" spans="1:41" x14ac:dyDescent="0.2">
      <c r="A167">
        <f t="shared" si="65"/>
        <v>50</v>
      </c>
      <c r="B167" s="5">
        <f t="shared" si="66"/>
        <v>69.400000000000006</v>
      </c>
      <c r="C167" s="56">
        <f t="shared" si="67"/>
        <v>51196</v>
      </c>
      <c r="D167" s="57">
        <f ca="1">IF(AND(B166&lt;59.5,OR(B167&gt;59.5,B167=59.5)),(D166-E166+J166-K166)*(1+'Retirement Planning'!$J$23/12),(D166-E166)*(1+'Retirement Planning'!$J$23/12))</f>
        <v>358963.66023887589</v>
      </c>
      <c r="E167" s="58">
        <f t="shared" ca="1" si="54"/>
        <v>1048.0092315068878</v>
      </c>
      <c r="F167" s="57">
        <f ca="1">IF(AND(OR(B167&gt;59.5,B167=59.5),B166&lt;59.5),(F166-G166+L166-M166+N166-O166)*(1+'Retirement Planning'!$J$23/12),(F166-G166)*(1+'Retirement Planning'!$J$23/12))</f>
        <v>1289329.2097589399</v>
      </c>
      <c r="G167" s="58">
        <f ca="1">IF(AND($B$10&lt;55,B167&lt;59.5),'Retirement Planning'!$J$25,IF(OR(B167&gt;59.5,B167=59.5),MAX(0,MIN(F167,IF(D167&lt;2500,((Y167+AJ167+AA167))-X167,((Y167+AJ167+AA167)*'Retirement Planning'!$J$44)-X167))),0))</f>
        <v>7060.1570908438534</v>
      </c>
      <c r="H167" s="255">
        <f ca="1">IF(MONTH(C167)=1,IF(B167&gt;69.5,F167/(INDEX('Retirement Planning'!D$1:D$264,(160+INT(B167))))/12,0),IF(F167=0,0,H166))</f>
        <v>0</v>
      </c>
      <c r="I167" s="262">
        <f t="shared" ca="1" si="55"/>
        <v>0</v>
      </c>
      <c r="J167" s="254">
        <f ca="1">IF(AND(B166&lt;59.5,OR(B167=59.5,B167&gt;59.5)),0,(J166-K166)*(1+'Retirement Planning'!$J$23/12))</f>
        <v>0</v>
      </c>
      <c r="K167" s="58">
        <f t="shared" ca="1" si="56"/>
        <v>0</v>
      </c>
      <c r="L167" s="57">
        <f>IF(AND(OR(B167&gt;59.5,B167=59.5),B166&lt;59.5),0,(L166-M166)*(1+'Retirement Planning'!$J$23/12))</f>
        <v>0</v>
      </c>
      <c r="M167" s="59">
        <f>IF(AND($B$10&lt;55,B167&lt;59.5),0,IF(B167&lt;59.5,MAX(0,MIN((($Y167+$AJ167+AA167)*'Retirement Planning'!$J$44)-$G167-$X167,L167)),0))</f>
        <v>0</v>
      </c>
      <c r="N167" s="57">
        <f ca="1">(N166-O166)*(1+'Retirement Planning'!$J$23/12)</f>
        <v>0</v>
      </c>
      <c r="O167" s="59">
        <f ca="1">IF(B167&gt;59.5,MAX(0,MIN((AA167+$Y167+$AJ167)*(IF(D167&lt;(MIN(E155:E166)+1),1,'Retirement Planning'!$J$44))-M167-$G167-$X167-(IF(D167&lt;(MIN(E155:E166)+1),D167,0)),N167)),0)</f>
        <v>0</v>
      </c>
      <c r="P167" s="57">
        <f t="shared" si="68"/>
        <v>0</v>
      </c>
      <c r="Q167" s="58">
        <f t="shared" si="69"/>
        <v>0</v>
      </c>
      <c r="R167" s="57">
        <f ca="1">(R166-S166-T166)*(1+'Retirement Planning'!$J$23/12)</f>
        <v>381628.70627167588</v>
      </c>
      <c r="S167" s="58">
        <f t="shared" ca="1" si="70"/>
        <v>808.33333333333337</v>
      </c>
      <c r="T167" s="273">
        <f t="shared" ca="1" si="57"/>
        <v>-2.2737367544323206E-13</v>
      </c>
      <c r="U167" s="57">
        <f ca="1">(U166-V166)*(1+'Retirement Planning'!$J$23/12)</f>
        <v>298252.4666573907</v>
      </c>
      <c r="V167" s="24">
        <f ca="1">IF(AND($B$10&lt;55,B167&lt;59.5),MIN(U167,MAX(0,(Y167+AA167+AJ167-G167)*'Retirement Planning'!$J$45)),IF(B167&lt;59.5,(MIN(U167,MAX(0,((Y167+AA167+AJ167)-G167-M167)*'Retirement Planning'!$J$45))),MIN(U167,MAX(0,(Y167+AA167+AJ167-G167-M167-K167-X167)*'Retirement Planning'!$J$45))))</f>
        <v>892.74860461697881</v>
      </c>
      <c r="W167" s="7">
        <f t="shared" ca="1" si="58"/>
        <v>2328174.0429268824</v>
      </c>
      <c r="X167" s="7">
        <f>(IF(B167&gt;'Retirement Planning'!$J$34,IF('Retirement Planning'!$J$34=70,'Retirement Planning'!$J$37/12,IF('Retirement Planning'!$J$34=67,'Retirement Planning'!$J$36/12,'Retirement Planning'!$J$35/12)),0))*'Retirement Planning'!$J$38</f>
        <v>1213.6000000000001</v>
      </c>
      <c r="Y167" s="7">
        <f ca="1">'Retirement Planning'!$F$35*((1+'Retirement Planning'!$J$24)^(YEAR('Projected Retirement Drawdown'!C167)-YEAR(TODAY())))</f>
        <v>8119.3220176134591</v>
      </c>
      <c r="Z167" s="7">
        <f ca="1">G167+M167+O167+0.85*X167+V167*'Retirement Planning'!$J$46+T167</f>
        <v>8582.7288233831914</v>
      </c>
      <c r="AA167" s="7">
        <f ca="1">IF(MONTH(C167)=1,(((MIN(MAX(0,((SUM(Z155:Z166)-'Retirement Planning'!$I$53-'Retirement Planning'!$I$54)-'Retirement Planning'!$J$51)*'Retirement Planning'!$I$52))))+(MIN(MAX(0,((SUM(Z155:Z166)-'Retirement Planning'!$I$53-'Retirement Planning'!$I$54)-'Retirement Planning'!$J$50)*'Retirement Planning'!$I$51),('Retirement Planning'!$J$51-'Retirement Planning'!$J$50)*'Retirement Planning'!$I$51))+(MIN(MAX(0,((SUM(Z155:Z166)-'Retirement Planning'!$I$53-'Retirement Planning'!$I$54)-'Retirement Planning'!$J$49)*'Retirement Planning'!$I$50),('Retirement Planning'!$J$50-'Retirement Planning'!$J$49)*'Retirement Planning'!$I$50)+MIN(MAX(0,((SUM(Z155:Z166)-'Retirement Planning'!$I$53-'Retirement Planning'!$I$54)-'Retirement Planning'!$J$48)*'Retirement Planning'!$I$49),('Retirement Planning'!$J$49-'Retirement Planning'!$J$48)*'Retirement Planning'!$I$49)+MIN(((SUM(Z155:Z166)-'Retirement Planning'!$I$53-'Retirement Planning'!$I$54))*'Retirement Planning'!$I$48,('Retirement Planning'!$J$48)*'Retirement Planning'!$I$48))+(IF((SUM(Z155:Z166)-'Retirement Planning'!$I$54-'Retirement Planning'!$I$61)&gt;'Retirement Planning'!$J$59,(SUM(Z155:Z166)-'Retirement Planning'!$I$54-'Retirement Planning'!$I$61-'Retirement Planning'!$J$59)*'Retirement Planning'!$I$60+'Retirement Planning'!$K$59,IF((SUM(Z155:Z166)-'Retirement Planning'!$I$54-'Retirement Planning'!$I$61)&gt;'Retirement Planning'!$J$58,(SUM(Z155:Z166)-'Retirement Planning'!$I$54-'Retirement Planning'!$I$61-'Retirement Planning'!$J$58)*'Retirement Planning'!$I$59+'Retirement Planning'!$K$58,IF((SUM(Z155:Z166)-'Retirement Planning'!$I$54-'Retirement Planning'!$I$61)&gt;'Retirement Planning'!$J$57,(SUM(Z155:Z166)-'Retirement Planning'!$I$54-'Retirement Planning'!$I$61-'Retirement Planning'!$J$57)*'Retirement Planning'!$I$58+'Retirement Planning'!$K$57,IF((SUM(Z155:Z166)-'Retirement Planning'!$I$54-'Retirement Planning'!$I$61)&gt;'Retirement Planning'!$J$56,(SUM(Z155:Z166)-'Retirement Planning'!$I$54-'Retirement Planning'!$I$61-'Retirement Planning'!$J$56)*'Retirement Planning'!$I$57+'Retirement Planning'!$K$56,(SUM(Z155:Z166)-'Retirement Planning'!$I$54-'Retirement Planning'!$I$61)*'Retirement Planning'!$I$56))))))/12,AA166)</f>
        <v>1778.5262426875945</v>
      </c>
      <c r="AB167" s="104">
        <f t="shared" ca="1" si="49"/>
        <v>0.21498935901221933</v>
      </c>
      <c r="AC167" s="7">
        <f>IF(B167&lt;65,'Retirement Planning'!$J$28,0)</f>
        <v>0</v>
      </c>
      <c r="AD167" s="7">
        <f>IF(B167&lt;65,'Retirement Planning'!$J$29/12,0)</f>
        <v>0</v>
      </c>
      <c r="AE167" s="22">
        <f>'Retirement Planning'!$J$31/12</f>
        <v>58.333333333333336</v>
      </c>
      <c r="AF167" s="22">
        <f>'Retirement Planning'!$J$32/12</f>
        <v>66.666666666666671</v>
      </c>
      <c r="AG167" s="7">
        <f>IF($B167&gt;64.9,'Retirement Planning'!$J$39/12,0)</f>
        <v>183.33333333333334</v>
      </c>
      <c r="AH167" s="7">
        <f>IF($B167&gt;64.9,'Retirement Planning'!$J$40/12,0)</f>
        <v>258.33333333333331</v>
      </c>
      <c r="AI167" s="7">
        <f>IF($B167&gt;64.9,'Retirement Planning'!$J$41/12,0)</f>
        <v>558.33333333333337</v>
      </c>
      <c r="AJ167" s="7">
        <f t="shared" ca="1" si="59"/>
        <v>316.66666666666663</v>
      </c>
      <c r="AK167" s="3" t="str">
        <f t="shared" ca="1" si="60"/>
        <v>N/A</v>
      </c>
      <c r="AL167" s="6" t="str">
        <f t="shared" ca="1" si="61"/>
        <v>N/A</v>
      </c>
      <c r="AM167" s="7">
        <f t="shared" ca="1" si="62"/>
        <v>2.0463630789890885E-12</v>
      </c>
      <c r="AN167" s="7">
        <f t="shared" ca="1" si="63"/>
        <v>11022.848260301053</v>
      </c>
      <c r="AO167" s="7">
        <f t="shared" si="64"/>
        <v>1125</v>
      </c>
    </row>
    <row r="168" spans="1:41" x14ac:dyDescent="0.2">
      <c r="A168">
        <f t="shared" si="65"/>
        <v>50</v>
      </c>
      <c r="B168" s="5">
        <f t="shared" si="66"/>
        <v>69.5</v>
      </c>
      <c r="C168" s="56">
        <f t="shared" si="67"/>
        <v>51227</v>
      </c>
      <c r="D168" s="57">
        <f ca="1">IF(AND(B167&lt;59.5,OR(B168&gt;59.5,B168=59.5)),(D167-E167+J167-K167)*(1+'Retirement Planning'!$J$23/12),(D167-E167)*(1+'Retirement Planning'!$J$23/12))</f>
        <v>360450.88686867116</v>
      </c>
      <c r="E168" s="58">
        <f t="shared" ca="1" si="54"/>
        <v>1048.0092315068878</v>
      </c>
      <c r="F168" s="57">
        <f ca="1">IF(AND(OR(B168&gt;59.5,B168=59.5),B167&lt;59.5),(F167-G167+L167-M167+N167-O167)*(1+'Retirement Planning'!$J$23/12),(F167-G167)*(1+'Retirement Planning'!$J$23/12))</f>
        <v>1291351.7917911618</v>
      </c>
      <c r="G168" s="58">
        <f ca="1">IF(AND($B$10&lt;55,B168&lt;59.5),'Retirement Planning'!$J$25,IF(OR(B168&gt;59.5,B168=59.5),MAX(0,MIN(F168,IF(D168&lt;2500,((Y168+AJ168+AA168))-X168,((Y168+AJ168+AA168)*'Retirement Planning'!$J$44)-X168))),0))</f>
        <v>7060.1570908438534</v>
      </c>
      <c r="H168" s="255">
        <f ca="1">IF(MONTH(C168)=1,IF(B168&gt;69.5,F168/(INDEX('Retirement Planning'!D$1:D$264,(160+INT(B168))))/12,0),IF(F168=0,0,H167))</f>
        <v>0</v>
      </c>
      <c r="I168" s="262">
        <f t="shared" ca="1" si="55"/>
        <v>0</v>
      </c>
      <c r="J168" s="254">
        <f ca="1">IF(AND(B167&lt;59.5,OR(B168=59.5,B168&gt;59.5)),0,(J167-K167)*(1+'Retirement Planning'!$J$23/12))</f>
        <v>0</v>
      </c>
      <c r="K168" s="58">
        <f t="shared" ca="1" si="56"/>
        <v>0</v>
      </c>
      <c r="L168" s="57">
        <f>IF(AND(OR(B168&gt;59.5,B168=59.5),B167&lt;59.5),0,(L167-M167)*(1+'Retirement Planning'!$J$23/12))</f>
        <v>0</v>
      </c>
      <c r="M168" s="59">
        <f>IF(AND($B$10&lt;55,B168&lt;59.5),0,IF(B168&lt;59.5,MAX(0,MIN((($Y168+$AJ168+AA168)*'Retirement Planning'!$J$44)-$G168-$X168,L168)),0))</f>
        <v>0</v>
      </c>
      <c r="N168" s="57">
        <f ca="1">(N167-O167)*(1+'Retirement Planning'!$J$23/12)</f>
        <v>0</v>
      </c>
      <c r="O168" s="59">
        <f ca="1">IF(B168&gt;59.5,MAX(0,MIN((AA168+$Y168+$AJ168)*(IF(D168&lt;(MIN(E156:E167)+1),1,'Retirement Planning'!$J$44))-M168-$G168-$X168-(IF(D168&lt;(MIN(E156:E167)+1),D168,0)),N168)),0)</f>
        <v>0</v>
      </c>
      <c r="P168" s="57">
        <f t="shared" si="68"/>
        <v>0</v>
      </c>
      <c r="Q168" s="58">
        <f t="shared" si="69"/>
        <v>0</v>
      </c>
      <c r="R168" s="57">
        <f ca="1">(R167-S167-T167)*(1+'Retirement Planning'!$J$23/12)</f>
        <v>383517.85057998914</v>
      </c>
      <c r="S168" s="58">
        <f t="shared" ca="1" si="70"/>
        <v>808.33333333333337</v>
      </c>
      <c r="T168" s="273">
        <f t="shared" ca="1" si="57"/>
        <v>-2.2737367544323206E-13</v>
      </c>
      <c r="U168" s="57">
        <f ca="1">(U167-V167)*(1+'Retirement Planning'!$J$23/12)</f>
        <v>299466.01605564757</v>
      </c>
      <c r="V168" s="24">
        <f ca="1">IF(AND($B$10&lt;55,B168&lt;59.5),MIN(U168,MAX(0,(Y168+AA168+AJ168-G168)*'Retirement Planning'!$J$45)),IF(B168&lt;59.5,(MIN(U168,MAX(0,((Y168+AA168+AJ168)-G168-M168)*'Retirement Planning'!$J$45))),MIN(U168,MAX(0,(Y168+AA168+AJ168-G168-M168-K168-X168)*'Retirement Planning'!$J$45))))</f>
        <v>892.74860461697881</v>
      </c>
      <c r="W168" s="7">
        <f t="shared" ca="1" si="58"/>
        <v>2334786.5452954699</v>
      </c>
      <c r="X168" s="7">
        <f>(IF(B168&gt;'Retirement Planning'!$J$34,IF('Retirement Planning'!$J$34=70,'Retirement Planning'!$J$37/12,IF('Retirement Planning'!$J$34=67,'Retirement Planning'!$J$36/12,'Retirement Planning'!$J$35/12)),0))*'Retirement Planning'!$J$38</f>
        <v>1213.6000000000001</v>
      </c>
      <c r="Y168" s="7">
        <f ca="1">'Retirement Planning'!$F$35*((1+'Retirement Planning'!$J$24)^(YEAR('Projected Retirement Drawdown'!C168)-YEAR(TODAY())))</f>
        <v>8119.3220176134591</v>
      </c>
      <c r="Z168" s="7">
        <f ca="1">G168+M168+O168+0.85*X168+V168*'Retirement Planning'!$J$46+T168</f>
        <v>8582.7288233831914</v>
      </c>
      <c r="AA168" s="7">
        <f ca="1">IF(MONTH(C168)=1,(((MIN(MAX(0,((SUM(Z156:Z167)-'Retirement Planning'!$I$53-'Retirement Planning'!$I$54)-'Retirement Planning'!$J$51)*'Retirement Planning'!$I$52))))+(MIN(MAX(0,((SUM(Z156:Z167)-'Retirement Planning'!$I$53-'Retirement Planning'!$I$54)-'Retirement Planning'!$J$50)*'Retirement Planning'!$I$51),('Retirement Planning'!$J$51-'Retirement Planning'!$J$50)*'Retirement Planning'!$I$51))+(MIN(MAX(0,((SUM(Z156:Z167)-'Retirement Planning'!$I$53-'Retirement Planning'!$I$54)-'Retirement Planning'!$J$49)*'Retirement Planning'!$I$50),('Retirement Planning'!$J$50-'Retirement Planning'!$J$49)*'Retirement Planning'!$I$50)+MIN(MAX(0,((SUM(Z156:Z167)-'Retirement Planning'!$I$53-'Retirement Planning'!$I$54)-'Retirement Planning'!$J$48)*'Retirement Planning'!$I$49),('Retirement Planning'!$J$49-'Retirement Planning'!$J$48)*'Retirement Planning'!$I$49)+MIN(((SUM(Z156:Z167)-'Retirement Planning'!$I$53-'Retirement Planning'!$I$54))*'Retirement Planning'!$I$48,('Retirement Planning'!$J$48)*'Retirement Planning'!$I$48))+(IF((SUM(Z156:Z167)-'Retirement Planning'!$I$54-'Retirement Planning'!$I$61)&gt;'Retirement Planning'!$J$59,(SUM(Z156:Z167)-'Retirement Planning'!$I$54-'Retirement Planning'!$I$61-'Retirement Planning'!$J$59)*'Retirement Planning'!$I$60+'Retirement Planning'!$K$59,IF((SUM(Z156:Z167)-'Retirement Planning'!$I$54-'Retirement Planning'!$I$61)&gt;'Retirement Planning'!$J$58,(SUM(Z156:Z167)-'Retirement Planning'!$I$54-'Retirement Planning'!$I$61-'Retirement Planning'!$J$58)*'Retirement Planning'!$I$59+'Retirement Planning'!$K$58,IF((SUM(Z156:Z167)-'Retirement Planning'!$I$54-'Retirement Planning'!$I$61)&gt;'Retirement Planning'!$J$57,(SUM(Z156:Z167)-'Retirement Planning'!$I$54-'Retirement Planning'!$I$61-'Retirement Planning'!$J$57)*'Retirement Planning'!$I$58+'Retirement Planning'!$K$57,IF((SUM(Z156:Z167)-'Retirement Planning'!$I$54-'Retirement Planning'!$I$61)&gt;'Retirement Planning'!$J$56,(SUM(Z156:Z167)-'Retirement Planning'!$I$54-'Retirement Planning'!$I$61-'Retirement Planning'!$J$56)*'Retirement Planning'!$I$57+'Retirement Planning'!$K$56,(SUM(Z156:Z167)-'Retirement Planning'!$I$54-'Retirement Planning'!$I$61)*'Retirement Planning'!$I$56))))))/12,AA167)</f>
        <v>1778.5262426875945</v>
      </c>
      <c r="AB168" s="104">
        <f t="shared" ca="1" si="49"/>
        <v>0.21498935901221933</v>
      </c>
      <c r="AC168" s="7">
        <f>IF(B168&lt;65,'Retirement Planning'!$J$28,0)</f>
        <v>0</v>
      </c>
      <c r="AD168" s="7">
        <f>IF(B168&lt;65,'Retirement Planning'!$J$29/12,0)</f>
        <v>0</v>
      </c>
      <c r="AE168" s="22">
        <f>'Retirement Planning'!$J$31/12</f>
        <v>58.333333333333336</v>
      </c>
      <c r="AF168" s="22">
        <f>'Retirement Planning'!$J$32/12</f>
        <v>66.666666666666671</v>
      </c>
      <c r="AG168" s="7">
        <f>IF($B168&gt;64.9,'Retirement Planning'!$J$39/12,0)</f>
        <v>183.33333333333334</v>
      </c>
      <c r="AH168" s="7">
        <f>IF($B168&gt;64.9,'Retirement Planning'!$J$40/12,0)</f>
        <v>258.33333333333331</v>
      </c>
      <c r="AI168" s="7">
        <f>IF($B168&gt;64.9,'Retirement Planning'!$J$41/12,0)</f>
        <v>558.33333333333337</v>
      </c>
      <c r="AJ168" s="7">
        <f t="shared" ca="1" si="59"/>
        <v>316.66666666666663</v>
      </c>
      <c r="AK168" s="3" t="str">
        <f t="shared" ca="1" si="60"/>
        <v>N/A</v>
      </c>
      <c r="AL168" s="6" t="str">
        <f t="shared" ca="1" si="61"/>
        <v>N/A</v>
      </c>
      <c r="AM168" s="7">
        <f t="shared" ca="1" si="62"/>
        <v>2.0463630789890885E-12</v>
      </c>
      <c r="AN168" s="7">
        <f t="shared" ca="1" si="63"/>
        <v>11022.848260301053</v>
      </c>
      <c r="AO168" s="7">
        <f t="shared" si="64"/>
        <v>1125</v>
      </c>
    </row>
    <row r="169" spans="1:41" x14ac:dyDescent="0.2">
      <c r="A169">
        <f t="shared" si="65"/>
        <v>50</v>
      </c>
      <c r="B169" s="5">
        <f t="shared" si="66"/>
        <v>69.5</v>
      </c>
      <c r="C169" s="56">
        <f t="shared" si="67"/>
        <v>51257</v>
      </c>
      <c r="D169" s="57">
        <f ca="1">IF(AND(B168&lt;59.5,OR(B169&gt;59.5,B169=59.5)),(D168-E168+J168-K168)*(1+'Retirement Planning'!$J$23/12),(D168-E168)*(1+'Retirement Planning'!$J$23/12))</f>
        <v>361948.6480204275</v>
      </c>
      <c r="E169" s="58">
        <f t="shared" ca="1" si="54"/>
        <v>1048.0092315068878</v>
      </c>
      <c r="F169" s="57">
        <f ca="1">IF(AND(OR(B169&gt;59.5,B169=59.5),B168&lt;59.5),(F168-G168+L168-M168+N168-O168)*(1+'Retirement Planning'!$J$23/12),(F168-G168)*(1+'Retirement Planning'!$J$23/12))</f>
        <v>1293388.7004461118</v>
      </c>
      <c r="G169" s="58">
        <f ca="1">IF(AND($B$10&lt;55,B169&lt;59.5),'Retirement Planning'!$J$25,IF(OR(B169&gt;59.5,B169=59.5),MAX(0,MIN(F169,IF(D169&lt;2500,((Y169+AJ169+AA169))-X169,((Y169+AJ169+AA169)*'Retirement Planning'!$J$44)-X169))),0))</f>
        <v>7060.1570908438534</v>
      </c>
      <c r="H169" s="255">
        <f ca="1">IF(MONTH(C169)=1,IF(B169&gt;69.5,F169/(INDEX('Retirement Planning'!D$1:D$264,(160+INT(B169))))/12,0),IF(F169=0,0,H168))</f>
        <v>0</v>
      </c>
      <c r="I169" s="262">
        <f t="shared" ca="1" si="55"/>
        <v>0</v>
      </c>
      <c r="J169" s="254">
        <f ca="1">IF(AND(B168&lt;59.5,OR(B169=59.5,B169&gt;59.5)),0,(J168-K168)*(1+'Retirement Planning'!$J$23/12))</f>
        <v>0</v>
      </c>
      <c r="K169" s="58">
        <f t="shared" ca="1" si="56"/>
        <v>0</v>
      </c>
      <c r="L169" s="57">
        <f>IF(AND(OR(B169&gt;59.5,B169=59.5),B168&lt;59.5),0,(L168-M168)*(1+'Retirement Planning'!$J$23/12))</f>
        <v>0</v>
      </c>
      <c r="M169" s="59">
        <f>IF(AND($B$10&lt;55,B169&lt;59.5),0,IF(B169&lt;59.5,MAX(0,MIN((($Y169+$AJ169+AA169)*'Retirement Planning'!$J$44)-$G169-$X169,L169)),0))</f>
        <v>0</v>
      </c>
      <c r="N169" s="57">
        <f ca="1">(N168-O168)*(1+'Retirement Planning'!$J$23/12)</f>
        <v>0</v>
      </c>
      <c r="O169" s="59">
        <f ca="1">IF(B169&gt;59.5,MAX(0,MIN((AA169+$Y169+$AJ169)*(IF(D169&lt;(MIN(E157:E168)+1),1,'Retirement Planning'!$J$44))-M169-$G169-$X169-(IF(D169&lt;(MIN(E157:E168)+1),D169,0)),N169)),0)</f>
        <v>0</v>
      </c>
      <c r="P169" s="57">
        <f t="shared" si="68"/>
        <v>0</v>
      </c>
      <c r="Q169" s="58">
        <f t="shared" si="69"/>
        <v>0</v>
      </c>
      <c r="R169" s="57">
        <f ca="1">(R168-S168-T168)*(1+'Retirement Planning'!$J$23/12)</f>
        <v>385420.37632715295</v>
      </c>
      <c r="S169" s="58">
        <f t="shared" ca="1" si="70"/>
        <v>808.33333333333337</v>
      </c>
      <c r="T169" s="273">
        <f t="shared" ca="1" si="57"/>
        <v>-2.2737367544323206E-13</v>
      </c>
      <c r="U169" s="57">
        <f ca="1">(U168-V168)*(1+'Retirement Planning'!$J$23/12)</f>
        <v>300688.16142880876</v>
      </c>
      <c r="V169" s="24">
        <f ca="1">IF(AND($B$10&lt;55,B169&lt;59.5),MIN(U169,MAX(0,(Y169+AA169+AJ169-G169)*'Retirement Planning'!$J$45)),IF(B169&lt;59.5,(MIN(U169,MAX(0,((Y169+AA169+AJ169)-G169-M169)*'Retirement Planning'!$J$45))),MIN(U169,MAX(0,(Y169+AA169+AJ169-G169-M169-K169-X169)*'Retirement Planning'!$J$45))))</f>
        <v>892.74860461697881</v>
      </c>
      <c r="W169" s="7">
        <f t="shared" ca="1" si="58"/>
        <v>2341445.8862225008</v>
      </c>
      <c r="X169" s="7">
        <f>(IF(B169&gt;'Retirement Planning'!$J$34,IF('Retirement Planning'!$J$34=70,'Retirement Planning'!$J$37/12,IF('Retirement Planning'!$J$34=67,'Retirement Planning'!$J$36/12,'Retirement Planning'!$J$35/12)),0))*'Retirement Planning'!$J$38</f>
        <v>1213.6000000000001</v>
      </c>
      <c r="Y169" s="7">
        <f ca="1">'Retirement Planning'!$F$35*((1+'Retirement Planning'!$J$24)^(YEAR('Projected Retirement Drawdown'!C169)-YEAR(TODAY())))</f>
        <v>8119.3220176134591</v>
      </c>
      <c r="Z169" s="7">
        <f ca="1">G169+M169+O169+0.85*X169+V169*'Retirement Planning'!$J$46+T169</f>
        <v>8582.7288233831914</v>
      </c>
      <c r="AA169" s="7">
        <f ca="1">IF(MONTH(C169)=1,(((MIN(MAX(0,((SUM(Z157:Z168)-'Retirement Planning'!$I$53-'Retirement Planning'!$I$54)-'Retirement Planning'!$J$51)*'Retirement Planning'!$I$52))))+(MIN(MAX(0,((SUM(Z157:Z168)-'Retirement Planning'!$I$53-'Retirement Planning'!$I$54)-'Retirement Planning'!$J$50)*'Retirement Planning'!$I$51),('Retirement Planning'!$J$51-'Retirement Planning'!$J$50)*'Retirement Planning'!$I$51))+(MIN(MAX(0,((SUM(Z157:Z168)-'Retirement Planning'!$I$53-'Retirement Planning'!$I$54)-'Retirement Planning'!$J$49)*'Retirement Planning'!$I$50),('Retirement Planning'!$J$50-'Retirement Planning'!$J$49)*'Retirement Planning'!$I$50)+MIN(MAX(0,((SUM(Z157:Z168)-'Retirement Planning'!$I$53-'Retirement Planning'!$I$54)-'Retirement Planning'!$J$48)*'Retirement Planning'!$I$49),('Retirement Planning'!$J$49-'Retirement Planning'!$J$48)*'Retirement Planning'!$I$49)+MIN(((SUM(Z157:Z168)-'Retirement Planning'!$I$53-'Retirement Planning'!$I$54))*'Retirement Planning'!$I$48,('Retirement Planning'!$J$48)*'Retirement Planning'!$I$48))+(IF((SUM(Z157:Z168)-'Retirement Planning'!$I$54-'Retirement Planning'!$I$61)&gt;'Retirement Planning'!$J$59,(SUM(Z157:Z168)-'Retirement Planning'!$I$54-'Retirement Planning'!$I$61-'Retirement Planning'!$J$59)*'Retirement Planning'!$I$60+'Retirement Planning'!$K$59,IF((SUM(Z157:Z168)-'Retirement Planning'!$I$54-'Retirement Planning'!$I$61)&gt;'Retirement Planning'!$J$58,(SUM(Z157:Z168)-'Retirement Planning'!$I$54-'Retirement Planning'!$I$61-'Retirement Planning'!$J$58)*'Retirement Planning'!$I$59+'Retirement Planning'!$K$58,IF((SUM(Z157:Z168)-'Retirement Planning'!$I$54-'Retirement Planning'!$I$61)&gt;'Retirement Planning'!$J$57,(SUM(Z157:Z168)-'Retirement Planning'!$I$54-'Retirement Planning'!$I$61-'Retirement Planning'!$J$57)*'Retirement Planning'!$I$58+'Retirement Planning'!$K$57,IF((SUM(Z157:Z168)-'Retirement Planning'!$I$54-'Retirement Planning'!$I$61)&gt;'Retirement Planning'!$J$56,(SUM(Z157:Z168)-'Retirement Planning'!$I$54-'Retirement Planning'!$I$61-'Retirement Planning'!$J$56)*'Retirement Planning'!$I$57+'Retirement Planning'!$K$56,(SUM(Z157:Z168)-'Retirement Planning'!$I$54-'Retirement Planning'!$I$61)*'Retirement Planning'!$I$56))))))/12,AA168)</f>
        <v>1778.5262426875945</v>
      </c>
      <c r="AB169" s="104">
        <f t="shared" ca="1" si="49"/>
        <v>0.21498935901221933</v>
      </c>
      <c r="AC169" s="7">
        <f>IF(B169&lt;65,'Retirement Planning'!$J$28,0)</f>
        <v>0</v>
      </c>
      <c r="AD169" s="7">
        <f>IF(B169&lt;65,'Retirement Planning'!$J$29/12,0)</f>
        <v>0</v>
      </c>
      <c r="AE169" s="22">
        <f>'Retirement Planning'!$J$31/12</f>
        <v>58.333333333333336</v>
      </c>
      <c r="AF169" s="22">
        <f>'Retirement Planning'!$J$32/12</f>
        <v>66.666666666666671</v>
      </c>
      <c r="AG169" s="7">
        <f>IF($B169&gt;64.9,'Retirement Planning'!$J$39/12,0)</f>
        <v>183.33333333333334</v>
      </c>
      <c r="AH169" s="7">
        <f>IF($B169&gt;64.9,'Retirement Planning'!$J$40/12,0)</f>
        <v>258.33333333333331</v>
      </c>
      <c r="AI169" s="7">
        <f>IF($B169&gt;64.9,'Retirement Planning'!$J$41/12,0)</f>
        <v>558.33333333333337</v>
      </c>
      <c r="AJ169" s="7">
        <f t="shared" ca="1" si="59"/>
        <v>316.66666666666663</v>
      </c>
      <c r="AK169" s="3" t="str">
        <f t="shared" ca="1" si="60"/>
        <v>N/A</v>
      </c>
      <c r="AL169" s="6" t="str">
        <f t="shared" ca="1" si="61"/>
        <v>N/A</v>
      </c>
      <c r="AM169" s="7">
        <f t="shared" ca="1" si="62"/>
        <v>2.0463630789890885E-12</v>
      </c>
      <c r="AN169" s="7">
        <f t="shared" ca="1" si="63"/>
        <v>11022.848260301053</v>
      </c>
      <c r="AO169" s="7">
        <f t="shared" si="64"/>
        <v>1125</v>
      </c>
    </row>
    <row r="170" spans="1:41" x14ac:dyDescent="0.2">
      <c r="A170">
        <f t="shared" si="65"/>
        <v>50</v>
      </c>
      <c r="B170" s="5">
        <f t="shared" si="66"/>
        <v>69.599999999999994</v>
      </c>
      <c r="C170" s="56">
        <f t="shared" si="67"/>
        <v>51288</v>
      </c>
      <c r="D170" s="57">
        <f ca="1">IF(AND(B169&lt;59.5,OR(B170&gt;59.5,B170=59.5)),(D169-E169+J169-K169)*(1+'Retirement Planning'!$J$23/12),(D169-E169)*(1+'Retirement Planning'!$J$23/12))</f>
        <v>363457.01831367542</v>
      </c>
      <c r="E170" s="58">
        <f t="shared" ca="1" si="54"/>
        <v>1048.0092315068878</v>
      </c>
      <c r="F170" s="57">
        <f ca="1">IF(AND(OR(B170&gt;59.5,B170=59.5),B169&lt;59.5),(F169-G169+L169-M169+N169-O169)*(1+'Retirement Planning'!$J$23/12),(F169-G169)*(1+'Retirement Planning'!$J$23/12))</f>
        <v>1295440.0372040344</v>
      </c>
      <c r="G170" s="58">
        <f ca="1">IF(AND($B$10&lt;55,B170&lt;59.5),'Retirement Planning'!$J$25,IF(OR(B170&gt;59.5,B170=59.5),MAX(0,MIN(F170,IF(D170&lt;2500,((Y170+AJ170+AA170))-X170,((Y170+AJ170+AA170)*'Retirement Planning'!$J$44)-X170))),0))</f>
        <v>7060.1570908438534</v>
      </c>
      <c r="H170" s="255">
        <f ca="1">IF(MONTH(C170)=1,IF(B170&gt;69.5,F170/(INDEX('Retirement Planning'!D$1:D$264,(160+INT(B170))))/12,0),IF(F170=0,0,H169))</f>
        <v>0</v>
      </c>
      <c r="I170" s="262">
        <f t="shared" ca="1" si="55"/>
        <v>0</v>
      </c>
      <c r="J170" s="254">
        <f ca="1">IF(AND(B169&lt;59.5,OR(B170=59.5,B170&gt;59.5)),0,(J169-K169)*(1+'Retirement Planning'!$J$23/12))</f>
        <v>0</v>
      </c>
      <c r="K170" s="58">
        <f t="shared" ca="1" si="56"/>
        <v>0</v>
      </c>
      <c r="L170" s="57">
        <f>IF(AND(OR(B170&gt;59.5,B170=59.5),B169&lt;59.5),0,(L169-M169)*(1+'Retirement Planning'!$J$23/12))</f>
        <v>0</v>
      </c>
      <c r="M170" s="59">
        <f>IF(AND($B$10&lt;55,B170&lt;59.5),0,IF(B170&lt;59.5,MAX(0,MIN((($Y170+$AJ170+AA170)*'Retirement Planning'!$J$44)-$G170-$X170,L170)),0))</f>
        <v>0</v>
      </c>
      <c r="N170" s="57">
        <f ca="1">(N169-O169)*(1+'Retirement Planning'!$J$23/12)</f>
        <v>0</v>
      </c>
      <c r="O170" s="59">
        <f ca="1">IF(B170&gt;59.5,MAX(0,MIN((AA170+$Y170+$AJ170)*(IF(D170&lt;(MIN(E158:E169)+1),1,'Retirement Planning'!$J$44))-M170-$G170-$X170-(IF(D170&lt;(MIN(E158:E169)+1),D170,0)),N170)),0)</f>
        <v>0</v>
      </c>
      <c r="P170" s="57">
        <f t="shared" si="68"/>
        <v>0</v>
      </c>
      <c r="Q170" s="58">
        <f t="shared" si="69"/>
        <v>0</v>
      </c>
      <c r="R170" s="57">
        <f ca="1">(R169-S169-T169)*(1+'Retirement Planning'!$J$23/12)</f>
        <v>387336.37829835917</v>
      </c>
      <c r="S170" s="58">
        <f t="shared" ca="1" si="70"/>
        <v>808.33333333333337</v>
      </c>
      <c r="T170" s="273">
        <f t="shared" ca="1" si="57"/>
        <v>-2.2737367544323206E-13</v>
      </c>
      <c r="U170" s="57">
        <f ca="1">(U169-V169)*(1+'Retirement Planning'!$J$23/12)</f>
        <v>301918.96366502979</v>
      </c>
      <c r="V170" s="24">
        <f ca="1">IF(AND($B$10&lt;55,B170&lt;59.5),MIN(U170,MAX(0,(Y170+AA170+AJ170-G170)*'Retirement Planning'!$J$45)),IF(B170&lt;59.5,(MIN(U170,MAX(0,((Y170+AA170+AJ170)-G170-M170)*'Retirement Planning'!$J$45))),MIN(U170,MAX(0,(Y170+AA170+AJ170-G170-M170-K170-X170)*'Retirement Planning'!$J$45))))</f>
        <v>892.74860461697881</v>
      </c>
      <c r="W170" s="7">
        <f t="shared" ca="1" si="58"/>
        <v>2348152.3974810988</v>
      </c>
      <c r="X170" s="7">
        <f>(IF(B170&gt;'Retirement Planning'!$J$34,IF('Retirement Planning'!$J$34=70,'Retirement Planning'!$J$37/12,IF('Retirement Planning'!$J$34=67,'Retirement Planning'!$J$36/12,'Retirement Planning'!$J$35/12)),0))*'Retirement Planning'!$J$38</f>
        <v>1213.6000000000001</v>
      </c>
      <c r="Y170" s="7">
        <f ca="1">'Retirement Planning'!$F$35*((1+'Retirement Planning'!$J$24)^(YEAR('Projected Retirement Drawdown'!C170)-YEAR(TODAY())))</f>
        <v>8119.3220176134591</v>
      </c>
      <c r="Z170" s="7">
        <f ca="1">G170+M170+O170+0.85*X170+V170*'Retirement Planning'!$J$46+T170</f>
        <v>8582.7288233831914</v>
      </c>
      <c r="AA170" s="7">
        <f ca="1">IF(MONTH(C170)=1,(((MIN(MAX(0,((SUM(Z158:Z169)-'Retirement Planning'!$I$53-'Retirement Planning'!$I$54)-'Retirement Planning'!$J$51)*'Retirement Planning'!$I$52))))+(MIN(MAX(0,((SUM(Z158:Z169)-'Retirement Planning'!$I$53-'Retirement Planning'!$I$54)-'Retirement Planning'!$J$50)*'Retirement Planning'!$I$51),('Retirement Planning'!$J$51-'Retirement Planning'!$J$50)*'Retirement Planning'!$I$51))+(MIN(MAX(0,((SUM(Z158:Z169)-'Retirement Planning'!$I$53-'Retirement Planning'!$I$54)-'Retirement Planning'!$J$49)*'Retirement Planning'!$I$50),('Retirement Planning'!$J$50-'Retirement Planning'!$J$49)*'Retirement Planning'!$I$50)+MIN(MAX(0,((SUM(Z158:Z169)-'Retirement Planning'!$I$53-'Retirement Planning'!$I$54)-'Retirement Planning'!$J$48)*'Retirement Planning'!$I$49),('Retirement Planning'!$J$49-'Retirement Planning'!$J$48)*'Retirement Planning'!$I$49)+MIN(((SUM(Z158:Z169)-'Retirement Planning'!$I$53-'Retirement Planning'!$I$54))*'Retirement Planning'!$I$48,('Retirement Planning'!$J$48)*'Retirement Planning'!$I$48))+(IF((SUM(Z158:Z169)-'Retirement Planning'!$I$54-'Retirement Planning'!$I$61)&gt;'Retirement Planning'!$J$59,(SUM(Z158:Z169)-'Retirement Planning'!$I$54-'Retirement Planning'!$I$61-'Retirement Planning'!$J$59)*'Retirement Planning'!$I$60+'Retirement Planning'!$K$59,IF((SUM(Z158:Z169)-'Retirement Planning'!$I$54-'Retirement Planning'!$I$61)&gt;'Retirement Planning'!$J$58,(SUM(Z158:Z169)-'Retirement Planning'!$I$54-'Retirement Planning'!$I$61-'Retirement Planning'!$J$58)*'Retirement Planning'!$I$59+'Retirement Planning'!$K$58,IF((SUM(Z158:Z169)-'Retirement Planning'!$I$54-'Retirement Planning'!$I$61)&gt;'Retirement Planning'!$J$57,(SUM(Z158:Z169)-'Retirement Planning'!$I$54-'Retirement Planning'!$I$61-'Retirement Planning'!$J$57)*'Retirement Planning'!$I$58+'Retirement Planning'!$K$57,IF((SUM(Z158:Z169)-'Retirement Planning'!$I$54-'Retirement Planning'!$I$61)&gt;'Retirement Planning'!$J$56,(SUM(Z158:Z169)-'Retirement Planning'!$I$54-'Retirement Planning'!$I$61-'Retirement Planning'!$J$56)*'Retirement Planning'!$I$57+'Retirement Planning'!$K$56,(SUM(Z158:Z169)-'Retirement Planning'!$I$54-'Retirement Planning'!$I$61)*'Retirement Planning'!$I$56))))))/12,AA169)</f>
        <v>1778.5262426875945</v>
      </c>
      <c r="AB170" s="104">
        <f t="shared" ca="1" si="49"/>
        <v>0.21498935901221933</v>
      </c>
      <c r="AC170" s="7">
        <f>IF(B170&lt;65,'Retirement Planning'!$J$28,0)</f>
        <v>0</v>
      </c>
      <c r="AD170" s="7">
        <f>IF(B170&lt;65,'Retirement Planning'!$J$29/12,0)</f>
        <v>0</v>
      </c>
      <c r="AE170" s="22">
        <f>'Retirement Planning'!$J$31/12</f>
        <v>58.333333333333336</v>
      </c>
      <c r="AF170" s="22">
        <f>'Retirement Planning'!$J$32/12</f>
        <v>66.666666666666671</v>
      </c>
      <c r="AG170" s="7">
        <f>IF($B170&gt;64.9,'Retirement Planning'!$J$39/12,0)</f>
        <v>183.33333333333334</v>
      </c>
      <c r="AH170" s="7">
        <f>IF($B170&gt;64.9,'Retirement Planning'!$J$40/12,0)</f>
        <v>258.33333333333331</v>
      </c>
      <c r="AI170" s="7">
        <f>IF($B170&gt;64.9,'Retirement Planning'!$J$41/12,0)</f>
        <v>558.33333333333337</v>
      </c>
      <c r="AJ170" s="7">
        <f t="shared" ca="1" si="59"/>
        <v>316.66666666666663</v>
      </c>
      <c r="AK170" s="3" t="str">
        <f t="shared" ca="1" si="60"/>
        <v>N/A</v>
      </c>
      <c r="AL170" s="6" t="str">
        <f t="shared" ca="1" si="61"/>
        <v>N/A</v>
      </c>
      <c r="AM170" s="7">
        <f t="shared" ca="1" si="62"/>
        <v>2.0463630789890885E-12</v>
      </c>
      <c r="AN170" s="7">
        <f t="shared" ca="1" si="63"/>
        <v>11022.848260301053</v>
      </c>
      <c r="AO170" s="7">
        <f t="shared" si="64"/>
        <v>1125</v>
      </c>
    </row>
    <row r="171" spans="1:41" x14ac:dyDescent="0.2">
      <c r="A171">
        <f t="shared" si="65"/>
        <v>50</v>
      </c>
      <c r="B171" s="5">
        <f t="shared" si="66"/>
        <v>69.7</v>
      </c>
      <c r="C171" s="56">
        <f t="shared" si="67"/>
        <v>51318</v>
      </c>
      <c r="D171" s="57">
        <f ca="1">IF(AND(B170&lt;59.5,OR(B171&gt;59.5,B171=59.5)),(D170-E170+J170-K170)*(1+'Retirement Planning'!$J$23/12),(D170-E170)*(1+'Retirement Planning'!$J$23/12))</f>
        <v>364976.07289650053</v>
      </c>
      <c r="E171" s="58">
        <f t="shared" ca="1" si="54"/>
        <v>1048.0092315068878</v>
      </c>
      <c r="F171" s="57">
        <f ca="1">IF(AND(OR(B171&gt;59.5,B171=59.5),B170&lt;59.5),(F170-G170+L170-M170+N170-O170)*(1+'Retirement Planning'!$J$23/12),(F170-G170)*(1+'Retirement Planning'!$J$23/12))</f>
        <v>1297505.9042639923</v>
      </c>
      <c r="G171" s="58">
        <f ca="1">IF(AND($B$10&lt;55,B171&lt;59.5),'Retirement Planning'!$J$25,IF(OR(B171&gt;59.5,B171=59.5),MAX(0,MIN(F171,IF(D171&lt;2500,((Y171+AJ171+AA171))-X171,((Y171+AJ171+AA171)*'Retirement Planning'!$J$44)-X171))),0))</f>
        <v>7060.1570908438534</v>
      </c>
      <c r="H171" s="255">
        <f ca="1">IF(MONTH(C171)=1,IF(B171&gt;69.5,F171/(INDEX('Retirement Planning'!D$1:D$264,(160+INT(B171))))/12,0),IF(F171=0,0,H170))</f>
        <v>0</v>
      </c>
      <c r="I171" s="262">
        <f t="shared" ca="1" si="55"/>
        <v>0</v>
      </c>
      <c r="J171" s="254">
        <f ca="1">IF(AND(B170&lt;59.5,OR(B171=59.5,B171&gt;59.5)),0,(J170-K170)*(1+'Retirement Planning'!$J$23/12))</f>
        <v>0</v>
      </c>
      <c r="K171" s="58">
        <f t="shared" ca="1" si="56"/>
        <v>0</v>
      </c>
      <c r="L171" s="57">
        <f>IF(AND(OR(B171&gt;59.5,B171=59.5),B170&lt;59.5),0,(L170-M170)*(1+'Retirement Planning'!$J$23/12))</f>
        <v>0</v>
      </c>
      <c r="M171" s="59">
        <f>IF(AND($B$10&lt;55,B171&lt;59.5),0,IF(B171&lt;59.5,MAX(0,MIN((($Y171+$AJ171+AA171)*'Retirement Planning'!$J$44)-$G171-$X171,L171)),0))</f>
        <v>0</v>
      </c>
      <c r="N171" s="57">
        <f ca="1">(N170-O170)*(1+'Retirement Planning'!$J$23/12)</f>
        <v>0</v>
      </c>
      <c r="O171" s="59">
        <f ca="1">IF(B171&gt;59.5,MAX(0,MIN((AA171+$Y171+$AJ171)*(IF(D171&lt;(MIN(E159:E170)+1),1,'Retirement Planning'!$J$44))-M171-$G171-$X171-(IF(D171&lt;(MIN(E159:E170)+1),D171,0)),N171)),0)</f>
        <v>0</v>
      </c>
      <c r="P171" s="57">
        <f t="shared" si="68"/>
        <v>0</v>
      </c>
      <c r="Q171" s="58">
        <f t="shared" si="69"/>
        <v>0</v>
      </c>
      <c r="R171" s="57">
        <f ca="1">(R170-S170-T170)*(1+'Retirement Planning'!$J$23/12)</f>
        <v>389265.95195019478</v>
      </c>
      <c r="S171" s="58">
        <f t="shared" ca="1" si="70"/>
        <v>808.33333333333337</v>
      </c>
      <c r="T171" s="273">
        <f t="shared" ca="1" si="57"/>
        <v>-2.2737367544323206E-13</v>
      </c>
      <c r="U171" s="57">
        <f ca="1">(U170-V170)*(1+'Retirement Planning'!$J$23/12)</f>
        <v>303158.48408375739</v>
      </c>
      <c r="V171" s="24">
        <f ca="1">IF(AND($B$10&lt;55,B171&lt;59.5),MIN(U171,MAX(0,(Y171+AA171+AJ171-G171)*'Retirement Planning'!$J$45)),IF(B171&lt;59.5,(MIN(U171,MAX(0,((Y171+AA171+AJ171)-G171-M171)*'Retirement Planning'!$J$45))),MIN(U171,MAX(0,(Y171+AA171+AJ171-G171-M171-K171-X171)*'Retirement Planning'!$J$45))))</f>
        <v>892.74860461697881</v>
      </c>
      <c r="W171" s="7">
        <f t="shared" ca="1" si="58"/>
        <v>2354906.413194445</v>
      </c>
      <c r="X171" s="7">
        <f>(IF(B171&gt;'Retirement Planning'!$J$34,IF('Retirement Planning'!$J$34=70,'Retirement Planning'!$J$37/12,IF('Retirement Planning'!$J$34=67,'Retirement Planning'!$J$36/12,'Retirement Planning'!$J$35/12)),0))*'Retirement Planning'!$J$38</f>
        <v>1213.6000000000001</v>
      </c>
      <c r="Y171" s="7">
        <f ca="1">'Retirement Planning'!$F$35*((1+'Retirement Planning'!$J$24)^(YEAR('Projected Retirement Drawdown'!C171)-YEAR(TODAY())))</f>
        <v>8119.3220176134591</v>
      </c>
      <c r="Z171" s="7">
        <f ca="1">G171+M171+O171+0.85*X171+V171*'Retirement Planning'!$J$46+T171</f>
        <v>8582.7288233831914</v>
      </c>
      <c r="AA171" s="7">
        <f ca="1">IF(MONTH(C171)=1,(((MIN(MAX(0,((SUM(Z159:Z170)-'Retirement Planning'!$I$53-'Retirement Planning'!$I$54)-'Retirement Planning'!$J$51)*'Retirement Planning'!$I$52))))+(MIN(MAX(0,((SUM(Z159:Z170)-'Retirement Planning'!$I$53-'Retirement Planning'!$I$54)-'Retirement Planning'!$J$50)*'Retirement Planning'!$I$51),('Retirement Planning'!$J$51-'Retirement Planning'!$J$50)*'Retirement Planning'!$I$51))+(MIN(MAX(0,((SUM(Z159:Z170)-'Retirement Planning'!$I$53-'Retirement Planning'!$I$54)-'Retirement Planning'!$J$49)*'Retirement Planning'!$I$50),('Retirement Planning'!$J$50-'Retirement Planning'!$J$49)*'Retirement Planning'!$I$50)+MIN(MAX(0,((SUM(Z159:Z170)-'Retirement Planning'!$I$53-'Retirement Planning'!$I$54)-'Retirement Planning'!$J$48)*'Retirement Planning'!$I$49),('Retirement Planning'!$J$49-'Retirement Planning'!$J$48)*'Retirement Planning'!$I$49)+MIN(((SUM(Z159:Z170)-'Retirement Planning'!$I$53-'Retirement Planning'!$I$54))*'Retirement Planning'!$I$48,('Retirement Planning'!$J$48)*'Retirement Planning'!$I$48))+(IF((SUM(Z159:Z170)-'Retirement Planning'!$I$54-'Retirement Planning'!$I$61)&gt;'Retirement Planning'!$J$59,(SUM(Z159:Z170)-'Retirement Planning'!$I$54-'Retirement Planning'!$I$61-'Retirement Planning'!$J$59)*'Retirement Planning'!$I$60+'Retirement Planning'!$K$59,IF((SUM(Z159:Z170)-'Retirement Planning'!$I$54-'Retirement Planning'!$I$61)&gt;'Retirement Planning'!$J$58,(SUM(Z159:Z170)-'Retirement Planning'!$I$54-'Retirement Planning'!$I$61-'Retirement Planning'!$J$58)*'Retirement Planning'!$I$59+'Retirement Planning'!$K$58,IF((SUM(Z159:Z170)-'Retirement Planning'!$I$54-'Retirement Planning'!$I$61)&gt;'Retirement Planning'!$J$57,(SUM(Z159:Z170)-'Retirement Planning'!$I$54-'Retirement Planning'!$I$61-'Retirement Planning'!$J$57)*'Retirement Planning'!$I$58+'Retirement Planning'!$K$57,IF((SUM(Z159:Z170)-'Retirement Planning'!$I$54-'Retirement Planning'!$I$61)&gt;'Retirement Planning'!$J$56,(SUM(Z159:Z170)-'Retirement Planning'!$I$54-'Retirement Planning'!$I$61-'Retirement Planning'!$J$56)*'Retirement Planning'!$I$57+'Retirement Planning'!$K$56,(SUM(Z159:Z170)-'Retirement Planning'!$I$54-'Retirement Planning'!$I$61)*'Retirement Planning'!$I$56))))))/12,AA170)</f>
        <v>1778.5262426875945</v>
      </c>
      <c r="AB171" s="104">
        <f t="shared" ca="1" si="49"/>
        <v>0.21498935901221933</v>
      </c>
      <c r="AC171" s="7">
        <f>IF(B171&lt;65,'Retirement Planning'!$J$28,0)</f>
        <v>0</v>
      </c>
      <c r="AD171" s="7">
        <f>IF(B171&lt;65,'Retirement Planning'!$J$29/12,0)</f>
        <v>0</v>
      </c>
      <c r="AE171" s="22">
        <f>'Retirement Planning'!$J$31/12</f>
        <v>58.333333333333336</v>
      </c>
      <c r="AF171" s="22">
        <f>'Retirement Planning'!$J$32/12</f>
        <v>66.666666666666671</v>
      </c>
      <c r="AG171" s="7">
        <f>IF($B171&gt;64.9,'Retirement Planning'!$J$39/12,0)</f>
        <v>183.33333333333334</v>
      </c>
      <c r="AH171" s="7">
        <f>IF($B171&gt;64.9,'Retirement Planning'!$J$40/12,0)</f>
        <v>258.33333333333331</v>
      </c>
      <c r="AI171" s="7">
        <f>IF($B171&gt;64.9,'Retirement Planning'!$J$41/12,0)</f>
        <v>558.33333333333337</v>
      </c>
      <c r="AJ171" s="7">
        <f t="shared" ca="1" si="59"/>
        <v>316.66666666666663</v>
      </c>
      <c r="AK171" s="3" t="str">
        <f t="shared" ca="1" si="60"/>
        <v>N/A</v>
      </c>
      <c r="AL171" s="6" t="str">
        <f t="shared" ca="1" si="61"/>
        <v>N/A</v>
      </c>
      <c r="AM171" s="7">
        <f t="shared" ca="1" si="62"/>
        <v>2.0463630789890885E-12</v>
      </c>
      <c r="AN171" s="7">
        <f t="shared" ca="1" si="63"/>
        <v>11022.848260301053</v>
      </c>
      <c r="AO171" s="7">
        <f t="shared" si="64"/>
        <v>1125</v>
      </c>
    </row>
    <row r="172" spans="1:41" x14ac:dyDescent="0.2">
      <c r="A172">
        <f t="shared" si="65"/>
        <v>50</v>
      </c>
      <c r="B172" s="5">
        <f t="shared" si="66"/>
        <v>69.8</v>
      </c>
      <c r="C172" s="56">
        <f t="shared" si="67"/>
        <v>51349</v>
      </c>
      <c r="D172" s="57">
        <f ca="1">IF(AND(B171&lt;59.5,OR(B172&gt;59.5,B172=59.5)),(D171-E171+J171-K171)*(1+'Retirement Planning'!$J$23/12),(D171-E171)*(1+'Retirement Planning'!$J$23/12))</f>
        <v>366505.88744928734</v>
      </c>
      <c r="E172" s="58">
        <f t="shared" ca="1" si="54"/>
        <v>1048.0092315068878</v>
      </c>
      <c r="F172" s="57">
        <f ca="1">IF(AND(OR(B172&gt;59.5,B172=59.5),B171&lt;59.5),(F171-G171+L171-M171+N171-O171)*(1+'Retirement Planning'!$J$23/12),(F171-G171)*(1+'Retirement Planning'!$J$23/12))</f>
        <v>1299586.4045489582</v>
      </c>
      <c r="G172" s="58">
        <f ca="1">IF(AND($B$10&lt;55,B172&lt;59.5),'Retirement Planning'!$J$25,IF(OR(B172&gt;59.5,B172=59.5),MAX(0,MIN(F172,IF(D172&lt;2500,((Y172+AJ172+AA172))-X172,((Y172+AJ172+AA172)*'Retirement Planning'!$J$44)-X172))),0))</f>
        <v>7060.1570908438534</v>
      </c>
      <c r="H172" s="255">
        <f ca="1">IF(MONTH(C172)=1,IF(B172&gt;69.5,F172/(INDEX('Retirement Planning'!D$1:D$264,(160+INT(B172))))/12,0),IF(F172=0,0,H171))</f>
        <v>0</v>
      </c>
      <c r="I172" s="262">
        <f t="shared" ca="1" si="55"/>
        <v>0</v>
      </c>
      <c r="J172" s="254">
        <f ca="1">IF(AND(B171&lt;59.5,OR(B172=59.5,B172&gt;59.5)),0,(J171-K171)*(1+'Retirement Planning'!$J$23/12))</f>
        <v>0</v>
      </c>
      <c r="K172" s="58">
        <f t="shared" ca="1" si="56"/>
        <v>0</v>
      </c>
      <c r="L172" s="57">
        <f>IF(AND(OR(B172&gt;59.5,B172=59.5),B171&lt;59.5),0,(L171-M171)*(1+'Retirement Planning'!$J$23/12))</f>
        <v>0</v>
      </c>
      <c r="M172" s="59">
        <f>IF(AND($B$10&lt;55,B172&lt;59.5),0,IF(B172&lt;59.5,MAX(0,MIN((($Y172+$AJ172+AA172)*'Retirement Planning'!$J$44)-$G172-$X172,L172)),0))</f>
        <v>0</v>
      </c>
      <c r="N172" s="57">
        <f ca="1">(N171-O171)*(1+'Retirement Planning'!$J$23/12)</f>
        <v>0</v>
      </c>
      <c r="O172" s="59">
        <f ca="1">IF(B172&gt;59.5,MAX(0,MIN((AA172+$Y172+$AJ172)*(IF(D172&lt;(MIN(E160:E171)+1),1,'Retirement Planning'!$J$44))-M172-$G172-$X172-(IF(D172&lt;(MIN(E160:E171)+1),D172,0)),N172)),0)</f>
        <v>0</v>
      </c>
      <c r="P172" s="57">
        <f t="shared" si="68"/>
        <v>0</v>
      </c>
      <c r="Q172" s="58">
        <f t="shared" si="69"/>
        <v>0</v>
      </c>
      <c r="R172" s="57">
        <f ca="1">(R171-S171-T171)*(1+'Retirement Planning'!$J$23/12)</f>
        <v>391209.19341539755</v>
      </c>
      <c r="S172" s="58">
        <f t="shared" ca="1" si="70"/>
        <v>808.33333333333337</v>
      </c>
      <c r="T172" s="273">
        <f t="shared" ca="1" si="57"/>
        <v>-2.2737367544323206E-13</v>
      </c>
      <c r="U172" s="57">
        <f ca="1">(U171-V171)*(1+'Retirement Planning'!$J$23/12)</f>
        <v>304406.78443878435</v>
      </c>
      <c r="V172" s="24">
        <f ca="1">IF(AND($B$10&lt;55,B172&lt;59.5),MIN(U172,MAX(0,(Y172+AA172+AJ172-G172)*'Retirement Planning'!$J$45)),IF(B172&lt;59.5,(MIN(U172,MAX(0,((Y172+AA172+AJ172)-G172-M172)*'Retirement Planning'!$J$45))),MIN(U172,MAX(0,(Y172+AA172+AJ172-G172-M172-K172-X172)*'Retirement Planning'!$J$45))))</f>
        <v>892.74860461697881</v>
      </c>
      <c r="W172" s="7">
        <f t="shared" ca="1" si="58"/>
        <v>2361708.2698524273</v>
      </c>
      <c r="X172" s="7">
        <f>(IF(B172&gt;'Retirement Planning'!$J$34,IF('Retirement Planning'!$J$34=70,'Retirement Planning'!$J$37/12,IF('Retirement Planning'!$J$34=67,'Retirement Planning'!$J$36/12,'Retirement Planning'!$J$35/12)),0))*'Retirement Planning'!$J$38</f>
        <v>1213.6000000000001</v>
      </c>
      <c r="Y172" s="7">
        <f ca="1">'Retirement Planning'!$F$35*((1+'Retirement Planning'!$J$24)^(YEAR('Projected Retirement Drawdown'!C172)-YEAR(TODAY())))</f>
        <v>8119.3220176134591</v>
      </c>
      <c r="Z172" s="7">
        <f ca="1">G172+M172+O172+0.85*X172+V172*'Retirement Planning'!$J$46+T172</f>
        <v>8582.7288233831914</v>
      </c>
      <c r="AA172" s="7">
        <f ca="1">IF(MONTH(C172)=1,(((MIN(MAX(0,((SUM(Z160:Z171)-'Retirement Planning'!$I$53-'Retirement Planning'!$I$54)-'Retirement Planning'!$J$51)*'Retirement Planning'!$I$52))))+(MIN(MAX(0,((SUM(Z160:Z171)-'Retirement Planning'!$I$53-'Retirement Planning'!$I$54)-'Retirement Planning'!$J$50)*'Retirement Planning'!$I$51),('Retirement Planning'!$J$51-'Retirement Planning'!$J$50)*'Retirement Planning'!$I$51))+(MIN(MAX(0,((SUM(Z160:Z171)-'Retirement Planning'!$I$53-'Retirement Planning'!$I$54)-'Retirement Planning'!$J$49)*'Retirement Planning'!$I$50),('Retirement Planning'!$J$50-'Retirement Planning'!$J$49)*'Retirement Planning'!$I$50)+MIN(MAX(0,((SUM(Z160:Z171)-'Retirement Planning'!$I$53-'Retirement Planning'!$I$54)-'Retirement Planning'!$J$48)*'Retirement Planning'!$I$49),('Retirement Planning'!$J$49-'Retirement Planning'!$J$48)*'Retirement Planning'!$I$49)+MIN(((SUM(Z160:Z171)-'Retirement Planning'!$I$53-'Retirement Planning'!$I$54))*'Retirement Planning'!$I$48,('Retirement Planning'!$J$48)*'Retirement Planning'!$I$48))+(IF((SUM(Z160:Z171)-'Retirement Planning'!$I$54-'Retirement Planning'!$I$61)&gt;'Retirement Planning'!$J$59,(SUM(Z160:Z171)-'Retirement Planning'!$I$54-'Retirement Planning'!$I$61-'Retirement Planning'!$J$59)*'Retirement Planning'!$I$60+'Retirement Planning'!$K$59,IF((SUM(Z160:Z171)-'Retirement Planning'!$I$54-'Retirement Planning'!$I$61)&gt;'Retirement Planning'!$J$58,(SUM(Z160:Z171)-'Retirement Planning'!$I$54-'Retirement Planning'!$I$61-'Retirement Planning'!$J$58)*'Retirement Planning'!$I$59+'Retirement Planning'!$K$58,IF((SUM(Z160:Z171)-'Retirement Planning'!$I$54-'Retirement Planning'!$I$61)&gt;'Retirement Planning'!$J$57,(SUM(Z160:Z171)-'Retirement Planning'!$I$54-'Retirement Planning'!$I$61-'Retirement Planning'!$J$57)*'Retirement Planning'!$I$58+'Retirement Planning'!$K$57,IF((SUM(Z160:Z171)-'Retirement Planning'!$I$54-'Retirement Planning'!$I$61)&gt;'Retirement Planning'!$J$56,(SUM(Z160:Z171)-'Retirement Planning'!$I$54-'Retirement Planning'!$I$61-'Retirement Planning'!$J$56)*'Retirement Planning'!$I$57+'Retirement Planning'!$K$56,(SUM(Z160:Z171)-'Retirement Planning'!$I$54-'Retirement Planning'!$I$61)*'Retirement Planning'!$I$56))))))/12,AA171)</f>
        <v>1778.5262426875945</v>
      </c>
      <c r="AB172" s="104">
        <f t="shared" ca="1" si="49"/>
        <v>0.21498935901221933</v>
      </c>
      <c r="AC172" s="7">
        <f>IF(B172&lt;65,'Retirement Planning'!$J$28,0)</f>
        <v>0</v>
      </c>
      <c r="AD172" s="7">
        <f>IF(B172&lt;65,'Retirement Planning'!$J$29/12,0)</f>
        <v>0</v>
      </c>
      <c r="AE172" s="22">
        <f>'Retirement Planning'!$J$31/12</f>
        <v>58.333333333333336</v>
      </c>
      <c r="AF172" s="22">
        <f>'Retirement Planning'!$J$32/12</f>
        <v>66.666666666666671</v>
      </c>
      <c r="AG172" s="7">
        <f>IF($B172&gt;64.9,'Retirement Planning'!$J$39/12,0)</f>
        <v>183.33333333333334</v>
      </c>
      <c r="AH172" s="7">
        <f>IF($B172&gt;64.9,'Retirement Planning'!$J$40/12,0)</f>
        <v>258.33333333333331</v>
      </c>
      <c r="AI172" s="7">
        <f>IF($B172&gt;64.9,'Retirement Planning'!$J$41/12,0)</f>
        <v>558.33333333333337</v>
      </c>
      <c r="AJ172" s="7">
        <f t="shared" ca="1" si="59"/>
        <v>316.66666666666663</v>
      </c>
      <c r="AK172" s="3" t="str">
        <f t="shared" ca="1" si="60"/>
        <v>N/A</v>
      </c>
      <c r="AL172" s="6" t="str">
        <f t="shared" ca="1" si="61"/>
        <v>N/A</v>
      </c>
      <c r="AM172" s="7">
        <f t="shared" ca="1" si="62"/>
        <v>2.0463630789890885E-12</v>
      </c>
      <c r="AN172" s="7">
        <f t="shared" ca="1" si="63"/>
        <v>11022.848260301053</v>
      </c>
      <c r="AO172" s="7">
        <f t="shared" si="64"/>
        <v>1125</v>
      </c>
    </row>
    <row r="173" spans="1:41" x14ac:dyDescent="0.2">
      <c r="A173">
        <f t="shared" si="65"/>
        <v>50</v>
      </c>
      <c r="B173" s="5">
        <f t="shared" si="66"/>
        <v>69.900000000000006</v>
      </c>
      <c r="C173" s="56">
        <f t="shared" si="67"/>
        <v>51380</v>
      </c>
      <c r="D173" s="57">
        <f ca="1">IF(AND(B172&lt;59.5,OR(B173&gt;59.5,B173=59.5)),(D172-E172+J172-K172)*(1+'Retirement Planning'!$J$23/12),(D172-E172)*(1+'Retirement Planning'!$J$23/12))</f>
        <v>368046.53818848974</v>
      </c>
      <c r="E173" s="58">
        <f t="shared" ca="1" si="54"/>
        <v>1048.0092315068878</v>
      </c>
      <c r="F173" s="57">
        <f ca="1">IF(AND(OR(B173&gt;59.5,B173=59.5),B172&lt;59.5),(F172-G172+L172-M172+N172-O172)*(1+'Retirement Planning'!$J$23/12),(F172-G172)*(1+'Retirement Planning'!$J$23/12))</f>
        <v>1301681.6417109426</v>
      </c>
      <c r="G173" s="58">
        <f ca="1">IF(AND($B$10&lt;55,B173&lt;59.5),'Retirement Planning'!$J$25,IF(OR(B173&gt;59.5,B173=59.5),MAX(0,MIN(F173,IF(D173&lt;2500,((Y173+AJ173+AA173))-X173,((Y173+AJ173+AA173)*'Retirement Planning'!$J$44)-X173))),0))</f>
        <v>7060.1570908438534</v>
      </c>
      <c r="H173" s="255">
        <f ca="1">IF(MONTH(C173)=1,IF(B173&gt;69.5,F173/(INDEX('Retirement Planning'!D$1:D$264,(160+INT(B173))))/12,0),IF(F173=0,0,H172))</f>
        <v>0</v>
      </c>
      <c r="I173" s="262">
        <f t="shared" ca="1" si="55"/>
        <v>0</v>
      </c>
      <c r="J173" s="254">
        <f ca="1">IF(AND(B172&lt;59.5,OR(B173=59.5,B173&gt;59.5)),0,(J172-K172)*(1+'Retirement Planning'!$J$23/12))</f>
        <v>0</v>
      </c>
      <c r="K173" s="58">
        <f t="shared" ca="1" si="56"/>
        <v>0</v>
      </c>
      <c r="L173" s="57">
        <f>IF(AND(OR(B173&gt;59.5,B173=59.5),B172&lt;59.5),0,(L172-M172)*(1+'Retirement Planning'!$J$23/12))</f>
        <v>0</v>
      </c>
      <c r="M173" s="59">
        <f>IF(AND($B$10&lt;55,B173&lt;59.5),0,IF(B173&lt;59.5,MAX(0,MIN((($Y173+$AJ173+AA173)*'Retirement Planning'!$J$44)-$G173-$X173,L173)),0))</f>
        <v>0</v>
      </c>
      <c r="N173" s="57">
        <f ca="1">(N172-O172)*(1+'Retirement Planning'!$J$23/12)</f>
        <v>0</v>
      </c>
      <c r="O173" s="59">
        <f ca="1">IF(B173&gt;59.5,MAX(0,MIN((AA173+$Y173+$AJ173)*(IF(D173&lt;(MIN(E161:E172)+1),1,'Retirement Planning'!$J$44))-M173-$G173-$X173-(IF(D173&lt;(MIN(E161:E172)+1),D173,0)),N173)),0)</f>
        <v>0</v>
      </c>
      <c r="P173" s="57">
        <f t="shared" si="68"/>
        <v>0</v>
      </c>
      <c r="Q173" s="58">
        <f t="shared" si="69"/>
        <v>0</v>
      </c>
      <c r="R173" s="57">
        <f ca="1">(R172-S172-T172)*(1+'Retirement Planning'!$J$23/12)</f>
        <v>393166.19950764551</v>
      </c>
      <c r="S173" s="58">
        <f t="shared" ca="1" si="70"/>
        <v>808.33333333333337</v>
      </c>
      <c r="T173" s="273">
        <f t="shared" ca="1" si="57"/>
        <v>-2.2737367544323206E-13</v>
      </c>
      <c r="U173" s="57">
        <f ca="1">(U172-V172)*(1+'Retirement Planning'!$J$23/12)</f>
        <v>305663.92692132608</v>
      </c>
      <c r="V173" s="24">
        <f ca="1">IF(AND($B$10&lt;55,B173&lt;59.5),MIN(U173,MAX(0,(Y173+AA173+AJ173-G173)*'Retirement Planning'!$J$45)),IF(B173&lt;59.5,(MIN(U173,MAX(0,((Y173+AA173+AJ173)-G173-M173)*'Retirement Planning'!$J$45))),MIN(U173,MAX(0,(Y173+AA173+AJ173-G173-M173-K173-X173)*'Retirement Planning'!$J$45))))</f>
        <v>892.74860461697881</v>
      </c>
      <c r="W173" s="7">
        <f t="shared" ca="1" si="58"/>
        <v>2368558.3063284038</v>
      </c>
      <c r="X173" s="7">
        <f>(IF(B173&gt;'Retirement Planning'!$J$34,IF('Retirement Planning'!$J$34=70,'Retirement Planning'!$J$37/12,IF('Retirement Planning'!$J$34=67,'Retirement Planning'!$J$36/12,'Retirement Planning'!$J$35/12)),0))*'Retirement Planning'!$J$38</f>
        <v>1213.6000000000001</v>
      </c>
      <c r="Y173" s="7">
        <f ca="1">'Retirement Planning'!$F$35*((1+'Retirement Planning'!$J$24)^(YEAR('Projected Retirement Drawdown'!C173)-YEAR(TODAY())))</f>
        <v>8119.3220176134591</v>
      </c>
      <c r="Z173" s="7">
        <f ca="1">G173+M173+O173+0.85*X173+V173*'Retirement Planning'!$J$46+T173</f>
        <v>8582.7288233831914</v>
      </c>
      <c r="AA173" s="7">
        <f ca="1">IF(MONTH(C173)=1,(((MIN(MAX(0,((SUM(Z161:Z172)-'Retirement Planning'!$I$53-'Retirement Planning'!$I$54)-'Retirement Planning'!$J$51)*'Retirement Planning'!$I$52))))+(MIN(MAX(0,((SUM(Z161:Z172)-'Retirement Planning'!$I$53-'Retirement Planning'!$I$54)-'Retirement Planning'!$J$50)*'Retirement Planning'!$I$51),('Retirement Planning'!$J$51-'Retirement Planning'!$J$50)*'Retirement Planning'!$I$51))+(MIN(MAX(0,((SUM(Z161:Z172)-'Retirement Planning'!$I$53-'Retirement Planning'!$I$54)-'Retirement Planning'!$J$49)*'Retirement Planning'!$I$50),('Retirement Planning'!$J$50-'Retirement Planning'!$J$49)*'Retirement Planning'!$I$50)+MIN(MAX(0,((SUM(Z161:Z172)-'Retirement Planning'!$I$53-'Retirement Planning'!$I$54)-'Retirement Planning'!$J$48)*'Retirement Planning'!$I$49),('Retirement Planning'!$J$49-'Retirement Planning'!$J$48)*'Retirement Planning'!$I$49)+MIN(((SUM(Z161:Z172)-'Retirement Planning'!$I$53-'Retirement Planning'!$I$54))*'Retirement Planning'!$I$48,('Retirement Planning'!$J$48)*'Retirement Planning'!$I$48))+(IF((SUM(Z161:Z172)-'Retirement Planning'!$I$54-'Retirement Planning'!$I$61)&gt;'Retirement Planning'!$J$59,(SUM(Z161:Z172)-'Retirement Planning'!$I$54-'Retirement Planning'!$I$61-'Retirement Planning'!$J$59)*'Retirement Planning'!$I$60+'Retirement Planning'!$K$59,IF((SUM(Z161:Z172)-'Retirement Planning'!$I$54-'Retirement Planning'!$I$61)&gt;'Retirement Planning'!$J$58,(SUM(Z161:Z172)-'Retirement Planning'!$I$54-'Retirement Planning'!$I$61-'Retirement Planning'!$J$58)*'Retirement Planning'!$I$59+'Retirement Planning'!$K$58,IF((SUM(Z161:Z172)-'Retirement Planning'!$I$54-'Retirement Planning'!$I$61)&gt;'Retirement Planning'!$J$57,(SUM(Z161:Z172)-'Retirement Planning'!$I$54-'Retirement Planning'!$I$61-'Retirement Planning'!$J$57)*'Retirement Planning'!$I$58+'Retirement Planning'!$K$57,IF((SUM(Z161:Z172)-'Retirement Planning'!$I$54-'Retirement Planning'!$I$61)&gt;'Retirement Planning'!$J$56,(SUM(Z161:Z172)-'Retirement Planning'!$I$54-'Retirement Planning'!$I$61-'Retirement Planning'!$J$56)*'Retirement Planning'!$I$57+'Retirement Planning'!$K$56,(SUM(Z161:Z172)-'Retirement Planning'!$I$54-'Retirement Planning'!$I$61)*'Retirement Planning'!$I$56))))))/12,AA172)</f>
        <v>1778.5262426875945</v>
      </c>
      <c r="AB173" s="104">
        <f t="shared" ca="1" si="49"/>
        <v>0.21498935901221933</v>
      </c>
      <c r="AC173" s="7">
        <f>IF(B173&lt;65,'Retirement Planning'!$J$28,0)</f>
        <v>0</v>
      </c>
      <c r="AD173" s="7">
        <f>IF(B173&lt;65,'Retirement Planning'!$J$29/12,0)</f>
        <v>0</v>
      </c>
      <c r="AE173" s="22">
        <f>'Retirement Planning'!$J$31/12</f>
        <v>58.333333333333336</v>
      </c>
      <c r="AF173" s="22">
        <f>'Retirement Planning'!$J$32/12</f>
        <v>66.666666666666671</v>
      </c>
      <c r="AG173" s="7">
        <f>IF($B173&gt;64.9,'Retirement Planning'!$J$39/12,0)</f>
        <v>183.33333333333334</v>
      </c>
      <c r="AH173" s="7">
        <f>IF($B173&gt;64.9,'Retirement Planning'!$J$40/12,0)</f>
        <v>258.33333333333331</v>
      </c>
      <c r="AI173" s="7">
        <f>IF($B173&gt;64.9,'Retirement Planning'!$J$41/12,0)</f>
        <v>558.33333333333337</v>
      </c>
      <c r="AJ173" s="7">
        <f t="shared" ca="1" si="59"/>
        <v>316.66666666666663</v>
      </c>
      <c r="AK173" s="3" t="str">
        <f t="shared" ca="1" si="60"/>
        <v>N/A</v>
      </c>
      <c r="AL173" s="6" t="str">
        <f t="shared" ca="1" si="61"/>
        <v>N/A</v>
      </c>
      <c r="AM173" s="7">
        <f t="shared" ca="1" si="62"/>
        <v>2.0463630789890885E-12</v>
      </c>
      <c r="AN173" s="7">
        <f t="shared" ca="1" si="63"/>
        <v>11022.848260301053</v>
      </c>
      <c r="AO173" s="7">
        <f t="shared" si="64"/>
        <v>1125</v>
      </c>
    </row>
    <row r="174" spans="1:41" x14ac:dyDescent="0.2">
      <c r="A174">
        <f t="shared" si="65"/>
        <v>50</v>
      </c>
      <c r="B174" s="5">
        <f t="shared" si="66"/>
        <v>70</v>
      </c>
      <c r="C174" s="56">
        <f t="shared" si="67"/>
        <v>51410</v>
      </c>
      <c r="D174" s="57">
        <f ca="1">IF(AND(B173&lt;59.5,OR(B174&gt;59.5,B174=59.5)),(D173-E173+J173-K173)*(1+'Retirement Planning'!$J$23/12),(D173-E173)*(1+'Retirement Planning'!$J$23/12))</f>
        <v>369598.10187042813</v>
      </c>
      <c r="E174" s="58">
        <f t="shared" ca="1" si="54"/>
        <v>1048.0092315068878</v>
      </c>
      <c r="F174" s="57">
        <f ca="1">IF(AND(OR(B174&gt;59.5,B174=59.5),B173&lt;59.5),(F173-G173+L173-M173+N173-O173)*(1+'Retirement Planning'!$J$23/12),(F173-G173)*(1+'Retirement Planning'!$J$23/12))</f>
        <v>1303791.7201361577</v>
      </c>
      <c r="G174" s="58">
        <f ca="1">IF(AND($B$10&lt;55,B174&lt;59.5),'Retirement Planning'!$J$25,IF(OR(B174&gt;59.5,B174=59.5),MAX(0,MIN(F174,IF(D174&lt;2500,((Y174+AJ174+AA174))-X174,((Y174+AJ174+AA174)*'Retirement Planning'!$J$44)-X174))),0))</f>
        <v>7060.1570908438534</v>
      </c>
      <c r="H174" s="255">
        <f ca="1">IF(MONTH(C174)=1,IF(B174&gt;69.5,F174/(INDEX('Retirement Planning'!D$1:D$264,(160+INT(B174))))/12,0),IF(F174=0,0,H173))</f>
        <v>0</v>
      </c>
      <c r="I174" s="262">
        <f t="shared" ca="1" si="55"/>
        <v>0</v>
      </c>
      <c r="J174" s="254">
        <f ca="1">IF(AND(B173&lt;59.5,OR(B174=59.5,B174&gt;59.5)),0,(J173-K173)*(1+'Retirement Planning'!$J$23/12))</f>
        <v>0</v>
      </c>
      <c r="K174" s="58">
        <f t="shared" ca="1" si="56"/>
        <v>0</v>
      </c>
      <c r="L174" s="57">
        <f>IF(AND(OR(B174&gt;59.5,B174=59.5),B173&lt;59.5),0,(L173-M173)*(1+'Retirement Planning'!$J$23/12))</f>
        <v>0</v>
      </c>
      <c r="M174" s="59">
        <f>IF(AND($B$10&lt;55,B174&lt;59.5),0,IF(B174&lt;59.5,MAX(0,MIN((($Y174+$AJ174+AA174)*'Retirement Planning'!$J$44)-$G174-$X174,L174)),0))</f>
        <v>0</v>
      </c>
      <c r="N174" s="57">
        <f ca="1">(N173-O173)*(1+'Retirement Planning'!$J$23/12)</f>
        <v>0</v>
      </c>
      <c r="O174" s="59">
        <f ca="1">IF(B174&gt;59.5,MAX(0,MIN((AA174+$Y174+$AJ174)*(IF(D174&lt;(MIN(E162:E173)+1),1,'Retirement Planning'!$J$44))-M174-$G174-$X174-(IF(D174&lt;(MIN(E162:E173)+1),D174,0)),N174)),0)</f>
        <v>0</v>
      </c>
      <c r="P174" s="57">
        <f t="shared" si="68"/>
        <v>0</v>
      </c>
      <c r="Q174" s="58">
        <f t="shared" si="69"/>
        <v>0</v>
      </c>
      <c r="R174" s="57">
        <f ca="1">(R173-S173-T173)*(1+'Retirement Planning'!$J$23/12)</f>
        <v>395137.06772638025</v>
      </c>
      <c r="S174" s="58">
        <f t="shared" ca="1" si="70"/>
        <v>808.33333333333337</v>
      </c>
      <c r="T174" s="273">
        <f t="shared" ca="1" si="57"/>
        <v>-2.2737367544323206E-13</v>
      </c>
      <c r="U174" s="57">
        <f ca="1">(U173-V173)*(1+'Retirement Planning'!$J$23/12)</f>
        <v>306929.97416311916</v>
      </c>
      <c r="V174" s="24">
        <f ca="1">IF(AND($B$10&lt;55,B174&lt;59.5),MIN(U174,MAX(0,(Y174+AA174+AJ174-G174)*'Retirement Planning'!$J$45)),IF(B174&lt;59.5,(MIN(U174,MAX(0,((Y174+AA174+AJ174)-G174-M174)*'Retirement Planning'!$J$45))),MIN(U174,MAX(0,(Y174+AA174+AJ174-G174-M174-K174-X174)*'Retirement Planning'!$J$45))))</f>
        <v>892.74860461697881</v>
      </c>
      <c r="W174" s="7">
        <f t="shared" ca="1" si="58"/>
        <v>2375456.8638960849</v>
      </c>
      <c r="X174" s="7">
        <f>(IF(B174&gt;'Retirement Planning'!$J$34,IF('Retirement Planning'!$J$34=70,'Retirement Planning'!$J$37/12,IF('Retirement Planning'!$J$34=67,'Retirement Planning'!$J$36/12,'Retirement Planning'!$J$35/12)),0))*'Retirement Planning'!$J$38</f>
        <v>1213.6000000000001</v>
      </c>
      <c r="Y174" s="7">
        <f ca="1">'Retirement Planning'!$F$35*((1+'Retirement Planning'!$J$24)^(YEAR('Projected Retirement Drawdown'!C174)-YEAR(TODAY())))</f>
        <v>8119.3220176134591</v>
      </c>
      <c r="Z174" s="7">
        <f ca="1">G174+M174+O174+0.85*X174+V174*'Retirement Planning'!$J$46+T174</f>
        <v>8582.7288233831914</v>
      </c>
      <c r="AA174" s="7">
        <f ca="1">IF(MONTH(C174)=1,(((MIN(MAX(0,((SUM(Z162:Z173)-'Retirement Planning'!$I$53-'Retirement Planning'!$I$54)-'Retirement Planning'!$J$51)*'Retirement Planning'!$I$52))))+(MIN(MAX(0,((SUM(Z162:Z173)-'Retirement Planning'!$I$53-'Retirement Planning'!$I$54)-'Retirement Planning'!$J$50)*'Retirement Planning'!$I$51),('Retirement Planning'!$J$51-'Retirement Planning'!$J$50)*'Retirement Planning'!$I$51))+(MIN(MAX(0,((SUM(Z162:Z173)-'Retirement Planning'!$I$53-'Retirement Planning'!$I$54)-'Retirement Planning'!$J$49)*'Retirement Planning'!$I$50),('Retirement Planning'!$J$50-'Retirement Planning'!$J$49)*'Retirement Planning'!$I$50)+MIN(MAX(0,((SUM(Z162:Z173)-'Retirement Planning'!$I$53-'Retirement Planning'!$I$54)-'Retirement Planning'!$J$48)*'Retirement Planning'!$I$49),('Retirement Planning'!$J$49-'Retirement Planning'!$J$48)*'Retirement Planning'!$I$49)+MIN(((SUM(Z162:Z173)-'Retirement Planning'!$I$53-'Retirement Planning'!$I$54))*'Retirement Planning'!$I$48,('Retirement Planning'!$J$48)*'Retirement Planning'!$I$48))+(IF((SUM(Z162:Z173)-'Retirement Planning'!$I$54-'Retirement Planning'!$I$61)&gt;'Retirement Planning'!$J$59,(SUM(Z162:Z173)-'Retirement Planning'!$I$54-'Retirement Planning'!$I$61-'Retirement Planning'!$J$59)*'Retirement Planning'!$I$60+'Retirement Planning'!$K$59,IF((SUM(Z162:Z173)-'Retirement Planning'!$I$54-'Retirement Planning'!$I$61)&gt;'Retirement Planning'!$J$58,(SUM(Z162:Z173)-'Retirement Planning'!$I$54-'Retirement Planning'!$I$61-'Retirement Planning'!$J$58)*'Retirement Planning'!$I$59+'Retirement Planning'!$K$58,IF((SUM(Z162:Z173)-'Retirement Planning'!$I$54-'Retirement Planning'!$I$61)&gt;'Retirement Planning'!$J$57,(SUM(Z162:Z173)-'Retirement Planning'!$I$54-'Retirement Planning'!$I$61-'Retirement Planning'!$J$57)*'Retirement Planning'!$I$58+'Retirement Planning'!$K$57,IF((SUM(Z162:Z173)-'Retirement Planning'!$I$54-'Retirement Planning'!$I$61)&gt;'Retirement Planning'!$J$56,(SUM(Z162:Z173)-'Retirement Planning'!$I$54-'Retirement Planning'!$I$61-'Retirement Planning'!$J$56)*'Retirement Planning'!$I$57+'Retirement Planning'!$K$56,(SUM(Z162:Z173)-'Retirement Planning'!$I$54-'Retirement Planning'!$I$61)*'Retirement Planning'!$I$56))))))/12,AA173)</f>
        <v>1778.5262426875945</v>
      </c>
      <c r="AB174" s="104">
        <f t="shared" ref="AB174:AB237" ca="1" si="77">AB173</f>
        <v>0.21498935901221933</v>
      </c>
      <c r="AC174" s="7">
        <f>IF(B174&lt;65,'Retirement Planning'!$J$28,0)</f>
        <v>0</v>
      </c>
      <c r="AD174" s="7">
        <f>IF(B174&lt;65,'Retirement Planning'!$J$29/12,0)</f>
        <v>0</v>
      </c>
      <c r="AE174" s="22">
        <f>'Retirement Planning'!$J$31/12</f>
        <v>58.333333333333336</v>
      </c>
      <c r="AF174" s="22">
        <f>'Retirement Planning'!$J$32/12</f>
        <v>66.666666666666671</v>
      </c>
      <c r="AG174" s="7">
        <f>IF($B174&gt;64.9,'Retirement Planning'!$J$39/12,0)</f>
        <v>183.33333333333334</v>
      </c>
      <c r="AH174" s="7">
        <f>IF($B174&gt;64.9,'Retirement Planning'!$J$40/12,0)</f>
        <v>258.33333333333331</v>
      </c>
      <c r="AI174" s="7">
        <f>IF($B174&gt;64.9,'Retirement Planning'!$J$41/12,0)</f>
        <v>558.33333333333337</v>
      </c>
      <c r="AJ174" s="7">
        <f t="shared" ca="1" si="59"/>
        <v>316.66666666666663</v>
      </c>
      <c r="AK174" s="3" t="str">
        <f t="shared" ca="1" si="60"/>
        <v>N/A</v>
      </c>
      <c r="AL174" s="6" t="str">
        <f t="shared" ca="1" si="61"/>
        <v>N/A</v>
      </c>
      <c r="AM174" s="7">
        <f t="shared" ca="1" si="62"/>
        <v>2.0463630789890885E-12</v>
      </c>
      <c r="AN174" s="7">
        <f t="shared" ca="1" si="63"/>
        <v>11022.848260301053</v>
      </c>
      <c r="AO174" s="7">
        <f t="shared" si="64"/>
        <v>1125</v>
      </c>
    </row>
    <row r="175" spans="1:41" x14ac:dyDescent="0.2">
      <c r="A175">
        <f t="shared" si="65"/>
        <v>50</v>
      </c>
      <c r="B175" s="5">
        <f t="shared" si="66"/>
        <v>70</v>
      </c>
      <c r="C175" s="56">
        <f t="shared" si="67"/>
        <v>51441</v>
      </c>
      <c r="D175" s="57">
        <f ca="1">IF(AND(B174&lt;59.5,OR(B175&gt;59.5,B175=59.5)),(D174-E174+J174-K174)*(1+'Retirement Planning'!$J$23/12),(D174-E174)*(1+'Retirement Planning'!$J$23/12))</f>
        <v>371160.65579511359</v>
      </c>
      <c r="E175" s="58">
        <f t="shared" ca="1" si="54"/>
        <v>1048.0092315068878</v>
      </c>
      <c r="F175" s="57">
        <f ca="1">IF(AND(OR(B175&gt;59.5,B175=59.5),B174&lt;59.5),(F174-G174+L174-M174+N174-O174)*(1+'Retirement Planning'!$J$23/12),(F174-G174)*(1+'Retirement Planning'!$J$23/12))</f>
        <v>1305916.7449502181</v>
      </c>
      <c r="G175" s="58">
        <f ca="1">IF(AND($B$10&lt;55,B175&lt;59.5),'Retirement Planning'!$J$25,IF(OR(B175&gt;59.5,B175=59.5),MAX(0,MIN(F175,IF(D175&lt;2500,((Y175+AJ175+AA175))-X175,((Y175+AJ175+AA175)*'Retirement Planning'!$J$44)-X175))),0))</f>
        <v>7060.1570908438534</v>
      </c>
      <c r="H175" s="255">
        <f ca="1">IF(MONTH(C175)=1,IF(B175&gt;69.5,F175/(INDEX('Retirement Planning'!D$1:D$264,(160+INT(B175))))/12,0),IF(F175=0,0,H174))</f>
        <v>0</v>
      </c>
      <c r="I175" s="262">
        <f t="shared" ca="1" si="55"/>
        <v>0</v>
      </c>
      <c r="J175" s="254">
        <f ca="1">IF(AND(B174&lt;59.5,OR(B175=59.5,B175&gt;59.5)),0,(J174-K174)*(1+'Retirement Planning'!$J$23/12))</f>
        <v>0</v>
      </c>
      <c r="K175" s="58">
        <f t="shared" ca="1" si="56"/>
        <v>0</v>
      </c>
      <c r="L175" s="57">
        <f>IF(AND(OR(B175&gt;59.5,B175=59.5),B174&lt;59.5),0,(L174-M174)*(1+'Retirement Planning'!$J$23/12))</f>
        <v>0</v>
      </c>
      <c r="M175" s="59">
        <f>IF(AND($B$10&lt;55,B175&lt;59.5),0,IF(B175&lt;59.5,MAX(0,MIN((($Y175+$AJ175+AA175)*'Retirement Planning'!$J$44)-$G175-$X175,L175)),0))</f>
        <v>0</v>
      </c>
      <c r="N175" s="57">
        <f ca="1">(N174-O174)*(1+'Retirement Planning'!$J$23/12)</f>
        <v>0</v>
      </c>
      <c r="O175" s="59">
        <f ca="1">IF(B175&gt;59.5,MAX(0,MIN((AA175+$Y175+$AJ175)*(IF(D175&lt;(MIN(E163:E174)+1),1,'Retirement Planning'!$J$44))-M175-$G175-$X175-(IF(D175&lt;(MIN(E163:E174)+1),D175,0)),N175)),0)</f>
        <v>0</v>
      </c>
      <c r="P175" s="57">
        <f t="shared" si="68"/>
        <v>0</v>
      </c>
      <c r="Q175" s="58">
        <f t="shared" si="69"/>
        <v>0</v>
      </c>
      <c r="R175" s="57">
        <f ca="1">(R174-S174-T174)*(1+'Retirement Planning'!$J$23/12)</f>
        <v>397121.89626166434</v>
      </c>
      <c r="S175" s="58">
        <f t="shared" ca="1" si="70"/>
        <v>808.33333333333337</v>
      </c>
      <c r="T175" s="273">
        <f t="shared" ca="1" si="57"/>
        <v>-2.2737367544323206E-13</v>
      </c>
      <c r="U175" s="57">
        <f ca="1">(U174-V174)*(1+'Retirement Planning'!$J$23/12)</f>
        <v>308204.98923954158</v>
      </c>
      <c r="V175" s="24">
        <f ca="1">IF(AND($B$10&lt;55,B175&lt;59.5),MIN(U175,MAX(0,(Y175+AA175+AJ175-G175)*'Retirement Planning'!$J$45)),IF(B175&lt;59.5,(MIN(U175,MAX(0,((Y175+AA175+AJ175)-G175-M175)*'Retirement Planning'!$J$45))),MIN(U175,MAX(0,(Y175+AA175+AJ175-G175-M175-K175-X175)*'Retirement Planning'!$J$45))))</f>
        <v>892.74860461697881</v>
      </c>
      <c r="W175" s="7">
        <f t="shared" ca="1" si="58"/>
        <v>2382404.2862465377</v>
      </c>
      <c r="X175" s="7">
        <f>(IF(B175&gt;'Retirement Planning'!$J$34,IF('Retirement Planning'!$J$34=70,'Retirement Planning'!$J$37/12,IF('Retirement Planning'!$J$34=67,'Retirement Planning'!$J$36/12,'Retirement Planning'!$J$35/12)),0))*'Retirement Planning'!$J$38</f>
        <v>1213.6000000000001</v>
      </c>
      <c r="Y175" s="7">
        <f ca="1">'Retirement Planning'!$F$35*((1+'Retirement Planning'!$J$24)^(YEAR('Projected Retirement Drawdown'!C175)-YEAR(TODAY())))</f>
        <v>8119.3220176134591</v>
      </c>
      <c r="Z175" s="7">
        <f ca="1">G175+M175+O175+0.85*X175+V175*'Retirement Planning'!$J$46+T175</f>
        <v>8582.7288233831914</v>
      </c>
      <c r="AA175" s="7">
        <f ca="1">IF(MONTH(C175)=1,(((MIN(MAX(0,((SUM(Z163:Z174)-'Retirement Planning'!$I$53-'Retirement Planning'!$I$54)-'Retirement Planning'!$J$51)*'Retirement Planning'!$I$52))))+(MIN(MAX(0,((SUM(Z163:Z174)-'Retirement Planning'!$I$53-'Retirement Planning'!$I$54)-'Retirement Planning'!$J$50)*'Retirement Planning'!$I$51),('Retirement Planning'!$J$51-'Retirement Planning'!$J$50)*'Retirement Planning'!$I$51))+(MIN(MAX(0,((SUM(Z163:Z174)-'Retirement Planning'!$I$53-'Retirement Planning'!$I$54)-'Retirement Planning'!$J$49)*'Retirement Planning'!$I$50),('Retirement Planning'!$J$50-'Retirement Planning'!$J$49)*'Retirement Planning'!$I$50)+MIN(MAX(0,((SUM(Z163:Z174)-'Retirement Planning'!$I$53-'Retirement Planning'!$I$54)-'Retirement Planning'!$J$48)*'Retirement Planning'!$I$49),('Retirement Planning'!$J$49-'Retirement Planning'!$J$48)*'Retirement Planning'!$I$49)+MIN(((SUM(Z163:Z174)-'Retirement Planning'!$I$53-'Retirement Planning'!$I$54))*'Retirement Planning'!$I$48,('Retirement Planning'!$J$48)*'Retirement Planning'!$I$48))+(IF((SUM(Z163:Z174)-'Retirement Planning'!$I$54-'Retirement Planning'!$I$61)&gt;'Retirement Planning'!$J$59,(SUM(Z163:Z174)-'Retirement Planning'!$I$54-'Retirement Planning'!$I$61-'Retirement Planning'!$J$59)*'Retirement Planning'!$I$60+'Retirement Planning'!$K$59,IF((SUM(Z163:Z174)-'Retirement Planning'!$I$54-'Retirement Planning'!$I$61)&gt;'Retirement Planning'!$J$58,(SUM(Z163:Z174)-'Retirement Planning'!$I$54-'Retirement Planning'!$I$61-'Retirement Planning'!$J$58)*'Retirement Planning'!$I$59+'Retirement Planning'!$K$58,IF((SUM(Z163:Z174)-'Retirement Planning'!$I$54-'Retirement Planning'!$I$61)&gt;'Retirement Planning'!$J$57,(SUM(Z163:Z174)-'Retirement Planning'!$I$54-'Retirement Planning'!$I$61-'Retirement Planning'!$J$57)*'Retirement Planning'!$I$58+'Retirement Planning'!$K$57,IF((SUM(Z163:Z174)-'Retirement Planning'!$I$54-'Retirement Planning'!$I$61)&gt;'Retirement Planning'!$J$56,(SUM(Z163:Z174)-'Retirement Planning'!$I$54-'Retirement Planning'!$I$61-'Retirement Planning'!$J$56)*'Retirement Planning'!$I$57+'Retirement Planning'!$K$56,(SUM(Z163:Z174)-'Retirement Planning'!$I$54-'Retirement Planning'!$I$61)*'Retirement Planning'!$I$56))))))/12,AA174)</f>
        <v>1778.5262426875945</v>
      </c>
      <c r="AB175" s="104">
        <f t="shared" ca="1" si="77"/>
        <v>0.21498935901221933</v>
      </c>
      <c r="AC175" s="7">
        <f>IF(B175&lt;65,'Retirement Planning'!$J$28,0)</f>
        <v>0</v>
      </c>
      <c r="AD175" s="7">
        <f>IF(B175&lt;65,'Retirement Planning'!$J$29/12,0)</f>
        <v>0</v>
      </c>
      <c r="AE175" s="22">
        <f>'Retirement Planning'!$J$31/12</f>
        <v>58.333333333333336</v>
      </c>
      <c r="AF175" s="22">
        <f>'Retirement Planning'!$J$32/12</f>
        <v>66.666666666666671</v>
      </c>
      <c r="AG175" s="7">
        <f>IF($B175&gt;64.9,'Retirement Planning'!$J$39/12,0)</f>
        <v>183.33333333333334</v>
      </c>
      <c r="AH175" s="7">
        <f>IF($B175&gt;64.9,'Retirement Planning'!$J$40/12,0)</f>
        <v>258.33333333333331</v>
      </c>
      <c r="AI175" s="7">
        <f>IF($B175&gt;64.9,'Retirement Planning'!$J$41/12,0)</f>
        <v>558.33333333333337</v>
      </c>
      <c r="AJ175" s="7">
        <f t="shared" ca="1" si="59"/>
        <v>316.66666666666663</v>
      </c>
      <c r="AK175" s="3" t="str">
        <f t="shared" ca="1" si="60"/>
        <v>N/A</v>
      </c>
      <c r="AL175" s="6" t="str">
        <f t="shared" ca="1" si="61"/>
        <v>N/A</v>
      </c>
      <c r="AM175" s="7">
        <f t="shared" ca="1" si="62"/>
        <v>2.0463630789890885E-12</v>
      </c>
      <c r="AN175" s="7">
        <f t="shared" ca="1" si="63"/>
        <v>11022.848260301053</v>
      </c>
      <c r="AO175" s="7">
        <f t="shared" si="64"/>
        <v>1125</v>
      </c>
    </row>
    <row r="176" spans="1:41" x14ac:dyDescent="0.2">
      <c r="A176">
        <f t="shared" si="65"/>
        <v>50</v>
      </c>
      <c r="B176" s="5">
        <f t="shared" si="66"/>
        <v>70.099999999999994</v>
      </c>
      <c r="C176" s="56">
        <f t="shared" si="67"/>
        <v>51471</v>
      </c>
      <c r="D176" s="57">
        <f ca="1">IF(AND(B175&lt;59.5,OR(B176&gt;59.5,B176=59.5)),(D175-E175+J175-K175)*(1+'Retirement Planning'!$J$23/12),(D175-E175)*(1+'Retirement Planning'!$J$23/12))</f>
        <v>372734.27781009889</v>
      </c>
      <c r="E176" s="58">
        <f t="shared" ca="1" si="54"/>
        <v>1048.0092315068878</v>
      </c>
      <c r="F176" s="57">
        <f ca="1">IF(AND(OR(B176&gt;59.5,B176=59.5),B175&lt;59.5),(F175-G175+L175-M175+N175-O175)*(1+'Retirement Planning'!$J$23/12),(F175-G175)*(1+'Retirement Planning'!$J$23/12))</f>
        <v>1308056.8220233782</v>
      </c>
      <c r="G176" s="58">
        <f ca="1">IF(AND($B$10&lt;55,B176&lt;59.5),'Retirement Planning'!$J$25,IF(OR(B176&gt;59.5,B176=59.5),MAX(0,MIN(F176,IF(D176&lt;2500,((Y176+AJ176+AA176))-X176,((Y176+AJ176+AA176)*'Retirement Planning'!$J$44)-X176))),0))</f>
        <v>7060.1570908438534</v>
      </c>
      <c r="H176" s="255">
        <f ca="1">IF(MONTH(C176)=1,IF(B176&gt;69.5,F176/(INDEX('Retirement Planning'!D$1:D$264,(160+INT(B176))))/12,0),IF(F176=0,0,H175))</f>
        <v>0</v>
      </c>
      <c r="I176" s="262">
        <f t="shared" ca="1" si="55"/>
        <v>0</v>
      </c>
      <c r="J176" s="254">
        <f ca="1">IF(AND(B175&lt;59.5,OR(B176=59.5,B176&gt;59.5)),0,(J175-K175)*(1+'Retirement Planning'!$J$23/12))</f>
        <v>0</v>
      </c>
      <c r="K176" s="58">
        <f t="shared" ca="1" si="56"/>
        <v>0</v>
      </c>
      <c r="L176" s="57">
        <f>IF(AND(OR(B176&gt;59.5,B176=59.5),B175&lt;59.5),0,(L175-M175)*(1+'Retirement Planning'!$J$23/12))</f>
        <v>0</v>
      </c>
      <c r="M176" s="59">
        <f>IF(AND($B$10&lt;55,B176&lt;59.5),0,IF(B176&lt;59.5,MAX(0,MIN((($Y176+$AJ176+AA176)*'Retirement Planning'!$J$44)-$G176-$X176,L176)),0))</f>
        <v>0</v>
      </c>
      <c r="N176" s="57">
        <f ca="1">(N175-O175)*(1+'Retirement Planning'!$J$23/12)</f>
        <v>0</v>
      </c>
      <c r="O176" s="59">
        <f ca="1">IF(B176&gt;59.5,MAX(0,MIN((AA176+$Y176+$AJ176)*(IF(D176&lt;(MIN(E164:E175)+1),1,'Retirement Planning'!$J$44))-M176-$G176-$X176-(IF(D176&lt;(MIN(E164:E175)+1),D176,0)),N176)),0)</f>
        <v>0</v>
      </c>
      <c r="P176" s="57">
        <f t="shared" si="68"/>
        <v>0</v>
      </c>
      <c r="Q176" s="58">
        <f t="shared" si="69"/>
        <v>0</v>
      </c>
      <c r="R176" s="57">
        <f ca="1">(R175-S175-T175)*(1+'Retirement Planning'!$J$23/12)</f>
        <v>399120.78399907338</v>
      </c>
      <c r="S176" s="58">
        <f t="shared" ca="1" si="70"/>
        <v>808.33333333333337</v>
      </c>
      <c r="T176" s="273">
        <f t="shared" ca="1" si="57"/>
        <v>-2.2737367544323206E-13</v>
      </c>
      <c r="U176" s="57">
        <f ca="1">(U175-V175)*(1+'Retirement Planning'!$J$23/12)</f>
        <v>309489.03567275533</v>
      </c>
      <c r="V176" s="24">
        <f ca="1">IF(AND($B$10&lt;55,B176&lt;59.5),MIN(U176,MAX(0,(Y176+AA176+AJ176-G176)*'Retirement Planning'!$J$45)),IF(B176&lt;59.5,(MIN(U176,MAX(0,((Y176+AA176+AJ176)-G176-M176)*'Retirement Planning'!$J$45))),MIN(U176,MAX(0,(Y176+AA176+AJ176-G176-M176-K176-X176)*'Retirement Planning'!$J$45))))</f>
        <v>892.74860461697881</v>
      </c>
      <c r="W176" s="7">
        <f t="shared" ca="1" si="58"/>
        <v>2389400.9195053056</v>
      </c>
      <c r="X176" s="7">
        <f>(IF(B176&gt;'Retirement Planning'!$J$34,IF('Retirement Planning'!$J$34=70,'Retirement Planning'!$J$37/12,IF('Retirement Planning'!$J$34=67,'Retirement Planning'!$J$36/12,'Retirement Planning'!$J$35/12)),0))*'Retirement Planning'!$J$38</f>
        <v>1213.6000000000001</v>
      </c>
      <c r="Y176" s="7">
        <f ca="1">'Retirement Planning'!$F$35*((1+'Retirement Planning'!$J$24)^(YEAR('Projected Retirement Drawdown'!C176)-YEAR(TODAY())))</f>
        <v>8119.3220176134591</v>
      </c>
      <c r="Z176" s="7">
        <f ca="1">G176+M176+O176+0.85*X176+V176*'Retirement Planning'!$J$46+T176</f>
        <v>8582.7288233831914</v>
      </c>
      <c r="AA176" s="7">
        <f ca="1">IF(MONTH(C176)=1,(((MIN(MAX(0,((SUM(Z164:Z175)-'Retirement Planning'!$I$53-'Retirement Planning'!$I$54)-'Retirement Planning'!$J$51)*'Retirement Planning'!$I$52))))+(MIN(MAX(0,((SUM(Z164:Z175)-'Retirement Planning'!$I$53-'Retirement Planning'!$I$54)-'Retirement Planning'!$J$50)*'Retirement Planning'!$I$51),('Retirement Planning'!$J$51-'Retirement Planning'!$J$50)*'Retirement Planning'!$I$51))+(MIN(MAX(0,((SUM(Z164:Z175)-'Retirement Planning'!$I$53-'Retirement Planning'!$I$54)-'Retirement Planning'!$J$49)*'Retirement Planning'!$I$50),('Retirement Planning'!$J$50-'Retirement Planning'!$J$49)*'Retirement Planning'!$I$50)+MIN(MAX(0,((SUM(Z164:Z175)-'Retirement Planning'!$I$53-'Retirement Planning'!$I$54)-'Retirement Planning'!$J$48)*'Retirement Planning'!$I$49),('Retirement Planning'!$J$49-'Retirement Planning'!$J$48)*'Retirement Planning'!$I$49)+MIN(((SUM(Z164:Z175)-'Retirement Planning'!$I$53-'Retirement Planning'!$I$54))*'Retirement Planning'!$I$48,('Retirement Planning'!$J$48)*'Retirement Planning'!$I$48))+(IF((SUM(Z164:Z175)-'Retirement Planning'!$I$54-'Retirement Planning'!$I$61)&gt;'Retirement Planning'!$J$59,(SUM(Z164:Z175)-'Retirement Planning'!$I$54-'Retirement Planning'!$I$61-'Retirement Planning'!$J$59)*'Retirement Planning'!$I$60+'Retirement Planning'!$K$59,IF((SUM(Z164:Z175)-'Retirement Planning'!$I$54-'Retirement Planning'!$I$61)&gt;'Retirement Planning'!$J$58,(SUM(Z164:Z175)-'Retirement Planning'!$I$54-'Retirement Planning'!$I$61-'Retirement Planning'!$J$58)*'Retirement Planning'!$I$59+'Retirement Planning'!$K$58,IF((SUM(Z164:Z175)-'Retirement Planning'!$I$54-'Retirement Planning'!$I$61)&gt;'Retirement Planning'!$J$57,(SUM(Z164:Z175)-'Retirement Planning'!$I$54-'Retirement Planning'!$I$61-'Retirement Planning'!$J$57)*'Retirement Planning'!$I$58+'Retirement Planning'!$K$57,IF((SUM(Z164:Z175)-'Retirement Planning'!$I$54-'Retirement Planning'!$I$61)&gt;'Retirement Planning'!$J$56,(SUM(Z164:Z175)-'Retirement Planning'!$I$54-'Retirement Planning'!$I$61-'Retirement Planning'!$J$56)*'Retirement Planning'!$I$57+'Retirement Planning'!$K$56,(SUM(Z164:Z175)-'Retirement Planning'!$I$54-'Retirement Planning'!$I$61)*'Retirement Planning'!$I$56))))))/12,AA175)</f>
        <v>1778.5262426875945</v>
      </c>
      <c r="AB176" s="104">
        <f t="shared" ca="1" si="77"/>
        <v>0.21498935901221933</v>
      </c>
      <c r="AC176" s="7">
        <f>IF(B176&lt;65,'Retirement Planning'!$J$28,0)</f>
        <v>0</v>
      </c>
      <c r="AD176" s="7">
        <f>IF(B176&lt;65,'Retirement Planning'!$J$29/12,0)</f>
        <v>0</v>
      </c>
      <c r="AE176" s="22">
        <f>'Retirement Planning'!$J$31/12</f>
        <v>58.333333333333336</v>
      </c>
      <c r="AF176" s="22">
        <f>'Retirement Planning'!$J$32/12</f>
        <v>66.666666666666671</v>
      </c>
      <c r="AG176" s="7">
        <f>IF($B176&gt;64.9,'Retirement Planning'!$J$39/12,0)</f>
        <v>183.33333333333334</v>
      </c>
      <c r="AH176" s="7">
        <f>IF($B176&gt;64.9,'Retirement Planning'!$J$40/12,0)</f>
        <v>258.33333333333331</v>
      </c>
      <c r="AI176" s="7">
        <f>IF($B176&gt;64.9,'Retirement Planning'!$J$41/12,0)</f>
        <v>558.33333333333337</v>
      </c>
      <c r="AJ176" s="7">
        <f t="shared" ca="1" si="59"/>
        <v>316.66666666666663</v>
      </c>
      <c r="AK176" s="3" t="str">
        <f t="shared" ca="1" si="60"/>
        <v>N/A</v>
      </c>
      <c r="AL176" s="6" t="str">
        <f t="shared" ca="1" si="61"/>
        <v>N/A</v>
      </c>
      <c r="AM176" s="7">
        <f t="shared" ca="1" si="62"/>
        <v>2.0463630789890885E-12</v>
      </c>
      <c r="AN176" s="7">
        <f t="shared" ca="1" si="63"/>
        <v>11022.848260301053</v>
      </c>
      <c r="AO176" s="7">
        <f t="shared" si="64"/>
        <v>1125</v>
      </c>
    </row>
    <row r="177" spans="1:41" x14ac:dyDescent="0.2">
      <c r="A177">
        <f t="shared" si="65"/>
        <v>50</v>
      </c>
      <c r="B177" s="5">
        <f t="shared" si="66"/>
        <v>70.2</v>
      </c>
      <c r="C177" s="56">
        <f t="shared" si="67"/>
        <v>51502</v>
      </c>
      <c r="D177" s="57">
        <f ca="1">IF(AND(B176&lt;59.5,OR(B177&gt;59.5,B177=59.5)),(D176-E176+J176-K176)*(1+'Retirement Planning'!$J$23/12),(D176-E176)*(1+'Retirement Planning'!$J$23/12))</f>
        <v>374319.04631435702</v>
      </c>
      <c r="E177" s="58">
        <f t="shared" ca="1" si="54"/>
        <v>1087.0057097471763</v>
      </c>
      <c r="F177" s="57">
        <f ca="1">IF(AND(OR(B177&gt;59.5,B177=59.5),B176&lt;59.5),(F176-G176+L176-M176+N176-O176)*(1+'Retirement Planning'!$J$23/12),(F176-G176)*(1+'Retirement Planning'!$J$23/12))</f>
        <v>1310212.0579758065</v>
      </c>
      <c r="G177" s="58">
        <f ca="1">IF(AND($B$10&lt;55,B177&lt;59.5),'Retirement Planning'!$J$25,IF(OR(B177&gt;59.5,B177=59.5),MAX(0,MIN(F177,IF(D177&lt;2500,((Y177+AJ177+AA177))-X177,((Y177+AJ177+AA177)*'Retirement Planning'!$J$44)-X177))),0))</f>
        <v>7368.0240243198241</v>
      </c>
      <c r="H177" s="255">
        <f ca="1">IF(MONTH(C177)=1,IF(B177&gt;69.5,F177/(INDEX('Retirement Planning'!D$1:D$264,(160+INT(B177))))/12,0),IF(F177=0,0,H176))</f>
        <v>6133.9515822837384</v>
      </c>
      <c r="I177" s="262">
        <f t="shared" ca="1" si="55"/>
        <v>0</v>
      </c>
      <c r="J177" s="254">
        <f ca="1">IF(AND(B176&lt;59.5,OR(B177=59.5,B177&gt;59.5)),0,(J176-K176)*(1+'Retirement Planning'!$J$23/12))</f>
        <v>0</v>
      </c>
      <c r="K177" s="58">
        <f t="shared" ca="1" si="56"/>
        <v>0</v>
      </c>
      <c r="L177" s="57">
        <f>IF(AND(OR(B177&gt;59.5,B177=59.5),B176&lt;59.5),0,(L176-M176)*(1+'Retirement Planning'!$J$23/12))</f>
        <v>0</v>
      </c>
      <c r="M177" s="59">
        <f>IF(AND($B$10&lt;55,B177&lt;59.5),0,IF(B177&lt;59.5,MAX(0,MIN((($Y177+$AJ177+AA177)*'Retirement Planning'!$J$44)-$G177-$X177,L177)),0))</f>
        <v>0</v>
      </c>
      <c r="N177" s="57">
        <f ca="1">(N176-O176)*(1+'Retirement Planning'!$J$23/12)</f>
        <v>0</v>
      </c>
      <c r="O177" s="59">
        <f ca="1">IF(B177&gt;59.5,MAX(0,MIN((AA177+$Y177+$AJ177)*(IF(D177&lt;(MIN(E165:E176)+1),1,'Retirement Planning'!$J$44))-M177-$G177-$X177-(IF(D177&lt;(MIN(E165:E176)+1),D177,0)),N177)),0)</f>
        <v>0</v>
      </c>
      <c r="P177" s="57">
        <f t="shared" si="68"/>
        <v>0</v>
      </c>
      <c r="Q177" s="58">
        <f t="shared" si="69"/>
        <v>0</v>
      </c>
      <c r="R177" s="57">
        <f ca="1">(R176-S176-T176)*(1+'Retirement Planning'!$J$23/12)</f>
        <v>401133.8305246224</v>
      </c>
      <c r="S177" s="58">
        <f t="shared" ca="1" si="70"/>
        <v>808.33333333333337</v>
      </c>
      <c r="T177" s="273">
        <f t="shared" ca="1" si="57"/>
        <v>1.3642420526593924E-12</v>
      </c>
      <c r="U177" s="57">
        <f ca="1">(U176-V176)*(1+'Retirement Planning'!$J$23/12)</f>
        <v>310782.17743487103</v>
      </c>
      <c r="V177" s="24">
        <f ca="1">IF(AND($B$10&lt;55,B177&lt;59.5),MIN(U177,MAX(0,(Y177+AA177+AJ177-G177)*'Retirement Planning'!$J$45)),IF(B177&lt;59.5,(MIN(U177,MAX(0,((Y177+AA177+AJ177)-G177-M177)*'Retirement Planning'!$J$45))),MIN(U177,MAX(0,(Y177+AA177+AJ177-G177-M177-K177-X177)*'Retirement Planning'!$J$45))))</f>
        <v>925.96782682166963</v>
      </c>
      <c r="W177" s="7">
        <f t="shared" ca="1" si="58"/>
        <v>2396447.112249657</v>
      </c>
      <c r="X177" s="7">
        <f>(IF(B177&gt;'Retirement Planning'!$J$34,IF('Retirement Planning'!$J$34=70,'Retirement Planning'!$J$37/12,IF('Retirement Planning'!$J$34=67,'Retirement Planning'!$J$36/12,'Retirement Planning'!$J$35/12)),0))*'Retirement Planning'!$J$38</f>
        <v>1213.6000000000001</v>
      </c>
      <c r="Y177" s="7">
        <f ca="1">'Retirement Planning'!$F$35*((1+'Retirement Planning'!$J$24)^(YEAR('Projected Retirement Drawdown'!C177)-YEAR(TODAY())))</f>
        <v>8403.49828822993</v>
      </c>
      <c r="Z177" s="7">
        <f ca="1">G177+M177+O177+0.85*X177+V177*'Retirement Planning'!$J$46+T177</f>
        <v>8908.8663290717432</v>
      </c>
      <c r="AA177" s="7">
        <f ca="1">IF(MONTH(C177)=1,(((MIN(MAX(0,((SUM(Z165:Z176)-'Retirement Planning'!$I$53-'Retirement Planning'!$I$54)-'Retirement Planning'!$J$51)*'Retirement Planning'!$I$52))))+(MIN(MAX(0,((SUM(Z165:Z176)-'Retirement Planning'!$I$53-'Retirement Planning'!$I$54)-'Retirement Planning'!$J$50)*'Retirement Planning'!$I$51),('Retirement Planning'!$J$51-'Retirement Planning'!$J$50)*'Retirement Planning'!$I$51))+(MIN(MAX(0,((SUM(Z165:Z176)-'Retirement Planning'!$I$53-'Retirement Planning'!$I$54)-'Retirement Planning'!$J$49)*'Retirement Planning'!$I$50),('Retirement Planning'!$J$50-'Retirement Planning'!$J$49)*'Retirement Planning'!$I$50)+MIN(MAX(0,((SUM(Z165:Z176)-'Retirement Planning'!$I$53-'Retirement Planning'!$I$54)-'Retirement Planning'!$J$48)*'Retirement Planning'!$I$49),('Retirement Planning'!$J$49-'Retirement Planning'!$J$48)*'Retirement Planning'!$I$49)+MIN(((SUM(Z165:Z176)-'Retirement Planning'!$I$53-'Retirement Planning'!$I$54))*'Retirement Planning'!$I$48,('Retirement Planning'!$J$48)*'Retirement Planning'!$I$48))+(IF((SUM(Z165:Z176)-'Retirement Planning'!$I$54-'Retirement Planning'!$I$61)&gt;'Retirement Planning'!$J$59,(SUM(Z165:Z176)-'Retirement Planning'!$I$54-'Retirement Planning'!$I$61-'Retirement Planning'!$J$59)*'Retirement Planning'!$I$60+'Retirement Planning'!$K$59,IF((SUM(Z165:Z176)-'Retirement Planning'!$I$54-'Retirement Planning'!$I$61)&gt;'Retirement Planning'!$J$58,(SUM(Z165:Z176)-'Retirement Planning'!$I$54-'Retirement Planning'!$I$61-'Retirement Planning'!$J$58)*'Retirement Planning'!$I$59+'Retirement Planning'!$K$58,IF((SUM(Z165:Z176)-'Retirement Planning'!$I$54-'Retirement Planning'!$I$61)&gt;'Retirement Planning'!$J$57,(SUM(Z165:Z176)-'Retirement Planning'!$I$54-'Retirement Planning'!$I$61-'Retirement Planning'!$J$57)*'Retirement Planning'!$I$58+'Retirement Planning'!$K$57,IF((SUM(Z165:Z176)-'Retirement Planning'!$I$54-'Retirement Planning'!$I$61)&gt;'Retirement Planning'!$J$56,(SUM(Z165:Z176)-'Retirement Planning'!$I$54-'Retirement Planning'!$I$61-'Retirement Planning'!$J$56)*'Retirement Planning'!$I$57+'Retirement Planning'!$K$56,(SUM(Z165:Z176)-'Retirement Planning'!$I$54-'Retirement Planning'!$I$61)*'Retirement Planning'!$I$56))))))/12,AA176)</f>
        <v>1874.4326059920743</v>
      </c>
      <c r="AB177" s="104">
        <f t="shared" ref="AB177" ca="1" si="78">SUM(AA177:AA188)/SUM(Z165:Z176)</f>
        <v>0.21839587904551777</v>
      </c>
      <c r="AC177" s="7">
        <f>IF(B177&lt;65,'Retirement Planning'!$J$28,0)</f>
        <v>0</v>
      </c>
      <c r="AD177" s="7">
        <f>IF(B177&lt;65,'Retirement Planning'!$J$29/12,0)</f>
        <v>0</v>
      </c>
      <c r="AE177" s="22">
        <f>'Retirement Planning'!$J$31/12</f>
        <v>58.333333333333336</v>
      </c>
      <c r="AF177" s="22">
        <f>'Retirement Planning'!$J$32/12</f>
        <v>66.666666666666671</v>
      </c>
      <c r="AG177" s="7">
        <f>IF($B177&gt;64.9,'Retirement Planning'!$J$39/12,0)</f>
        <v>183.33333333333334</v>
      </c>
      <c r="AH177" s="7">
        <f>IF($B177&gt;64.9,'Retirement Planning'!$J$40/12,0)</f>
        <v>258.33333333333331</v>
      </c>
      <c r="AI177" s="7">
        <f>IF($B177&gt;64.9,'Retirement Planning'!$J$41/12,0)</f>
        <v>558.33333333333337</v>
      </c>
      <c r="AJ177" s="7">
        <f t="shared" ca="1" si="59"/>
        <v>316.66666666666663</v>
      </c>
      <c r="AK177" s="3" t="str">
        <f t="shared" ca="1" si="60"/>
        <v>N/A</v>
      </c>
      <c r="AL177" s="6" t="str">
        <f t="shared" ca="1" si="61"/>
        <v>N/A</v>
      </c>
      <c r="AM177" s="7">
        <f t="shared" ca="1" si="62"/>
        <v>1.1368683772161603E-12</v>
      </c>
      <c r="AN177" s="7">
        <f t="shared" ca="1" si="63"/>
        <v>11402.930894222005</v>
      </c>
      <c r="AO177" s="7">
        <f t="shared" si="64"/>
        <v>1125</v>
      </c>
    </row>
    <row r="178" spans="1:41" x14ac:dyDescent="0.2">
      <c r="A178">
        <f t="shared" si="65"/>
        <v>50</v>
      </c>
      <c r="B178" s="5">
        <f t="shared" si="66"/>
        <v>70.3</v>
      </c>
      <c r="C178" s="56">
        <f t="shared" si="67"/>
        <v>51533</v>
      </c>
      <c r="D178" s="57">
        <f ca="1">IF(AND(B177&lt;59.5,OR(B178&gt;59.5,B178=59.5)),(D177-E177+J177-K177)*(1+'Retirement Planning'!$J$23/12),(D177-E177)*(1+'Retirement Planning'!$J$23/12))</f>
        <v>375875.76755889249</v>
      </c>
      <c r="E178" s="58">
        <f t="shared" ca="1" si="54"/>
        <v>1087.0057097471763</v>
      </c>
      <c r="F178" s="57">
        <f ca="1">IF(AND(OR(B178&gt;59.5,B178=59.5),B177&lt;59.5),(F177-G177+L177-M177+N177-O177)*(1+'Retirement Planning'!$J$23/12),(F177-G177)*(1+'Retirement Planning'!$J$23/12))</f>
        <v>1312072.5125253098</v>
      </c>
      <c r="G178" s="58">
        <f ca="1">IF(AND($B$10&lt;55,B178&lt;59.5),'Retirement Planning'!$J$25,IF(OR(B178&gt;59.5,B178=59.5),MAX(0,MIN(F178,IF(D178&lt;2500,((Y178+AJ178+AA178))-X178,((Y178+AJ178+AA178)*'Retirement Planning'!$J$44)-X178))),0))</f>
        <v>7368.0240243198241</v>
      </c>
      <c r="H178" s="255">
        <f ca="1">IF(MONTH(C178)=1,IF(B178&gt;69.5,F178/(INDEX('Retirement Planning'!D$1:D$264,(160+INT(B178))))/12,0),IF(F178=0,0,H177))</f>
        <v>6133.9515822837384</v>
      </c>
      <c r="I178" s="262">
        <f t="shared" ca="1" si="55"/>
        <v>0</v>
      </c>
      <c r="J178" s="254">
        <f ca="1">IF(AND(B177&lt;59.5,OR(B178=59.5,B178&gt;59.5)),0,(J177-K177)*(1+'Retirement Planning'!$J$23/12))</f>
        <v>0</v>
      </c>
      <c r="K178" s="58">
        <f t="shared" ca="1" si="56"/>
        <v>0</v>
      </c>
      <c r="L178" s="57">
        <f>IF(AND(OR(B178&gt;59.5,B178=59.5),B177&lt;59.5),0,(L177-M177)*(1+'Retirement Planning'!$J$23/12))</f>
        <v>0</v>
      </c>
      <c r="M178" s="59">
        <f>IF(AND($B$10&lt;55,B178&lt;59.5),0,IF(B178&lt;59.5,MAX(0,MIN((($Y178+$AJ178+AA178)*'Retirement Planning'!$J$44)-$G178-$X178,L178)),0))</f>
        <v>0</v>
      </c>
      <c r="N178" s="57">
        <f ca="1">(N177-O177)*(1+'Retirement Planning'!$J$23/12)</f>
        <v>0</v>
      </c>
      <c r="O178" s="59">
        <f ca="1">IF(B178&gt;59.5,MAX(0,MIN((AA178+$Y178+$AJ178)*(IF(D178&lt;(MIN(E166:E177)+1),1,'Retirement Planning'!$J$44))-M178-$G178-$X178-(IF(D178&lt;(MIN(E166:E177)+1),D178,0)),N178)),0)</f>
        <v>0</v>
      </c>
      <c r="P178" s="57">
        <f t="shared" si="68"/>
        <v>0</v>
      </c>
      <c r="Q178" s="58">
        <f t="shared" si="69"/>
        <v>0</v>
      </c>
      <c r="R178" s="57">
        <f ca="1">(R177-S177-T177)*(1+'Retirement Planning'!$J$23/12)</f>
        <v>403161.13612972741</v>
      </c>
      <c r="S178" s="58">
        <f t="shared" ca="1" si="70"/>
        <v>808.33333333333337</v>
      </c>
      <c r="T178" s="273">
        <f t="shared" ca="1" si="57"/>
        <v>1.3642420526593924E-12</v>
      </c>
      <c r="U178" s="57">
        <f ca="1">(U177-V177)*(1+'Retirement Planning'!$J$23/12)</f>
        <v>312051.02442610636</v>
      </c>
      <c r="V178" s="24">
        <f ca="1">IF(AND($B$10&lt;55,B178&lt;59.5),MIN(U178,MAX(0,(Y178+AA178+AJ178-G178)*'Retirement Planning'!$J$45)),IF(B178&lt;59.5,(MIN(U178,MAX(0,((Y178+AA178+AJ178)-G178-M178)*'Retirement Planning'!$J$45))),MIN(U178,MAX(0,(Y178+AA178+AJ178-G178-M178-K178-X178)*'Retirement Planning'!$J$45))))</f>
        <v>925.96782682166963</v>
      </c>
      <c r="W178" s="7">
        <f t="shared" ca="1" si="58"/>
        <v>2403160.440640036</v>
      </c>
      <c r="X178" s="7">
        <f>(IF(B178&gt;'Retirement Planning'!$J$34,IF('Retirement Planning'!$J$34=70,'Retirement Planning'!$J$37/12,IF('Retirement Planning'!$J$34=67,'Retirement Planning'!$J$36/12,'Retirement Planning'!$J$35/12)),0))*'Retirement Planning'!$J$38</f>
        <v>1213.6000000000001</v>
      </c>
      <c r="Y178" s="7">
        <f ca="1">'Retirement Planning'!$F$35*((1+'Retirement Planning'!$J$24)^(YEAR('Projected Retirement Drawdown'!C178)-YEAR(TODAY())))</f>
        <v>8403.49828822993</v>
      </c>
      <c r="Z178" s="7">
        <f ca="1">G178+M178+O178+0.85*X178+V178*'Retirement Planning'!$J$46+T178</f>
        <v>8908.8663290717432</v>
      </c>
      <c r="AA178" s="7">
        <f ca="1">IF(MONTH(C178)=1,(((MIN(MAX(0,((SUM(Z166:Z177)-'Retirement Planning'!$I$53-'Retirement Planning'!$I$54)-'Retirement Planning'!$J$51)*'Retirement Planning'!$I$52))))+(MIN(MAX(0,((SUM(Z166:Z177)-'Retirement Planning'!$I$53-'Retirement Planning'!$I$54)-'Retirement Planning'!$J$50)*'Retirement Planning'!$I$51),('Retirement Planning'!$J$51-'Retirement Planning'!$J$50)*'Retirement Planning'!$I$51))+(MIN(MAX(0,((SUM(Z166:Z177)-'Retirement Planning'!$I$53-'Retirement Planning'!$I$54)-'Retirement Planning'!$J$49)*'Retirement Planning'!$I$50),('Retirement Planning'!$J$50-'Retirement Planning'!$J$49)*'Retirement Planning'!$I$50)+MIN(MAX(0,((SUM(Z166:Z177)-'Retirement Planning'!$I$53-'Retirement Planning'!$I$54)-'Retirement Planning'!$J$48)*'Retirement Planning'!$I$49),('Retirement Planning'!$J$49-'Retirement Planning'!$J$48)*'Retirement Planning'!$I$49)+MIN(((SUM(Z166:Z177)-'Retirement Planning'!$I$53-'Retirement Planning'!$I$54))*'Retirement Planning'!$I$48,('Retirement Planning'!$J$48)*'Retirement Planning'!$I$48))+(IF((SUM(Z166:Z177)-'Retirement Planning'!$I$54-'Retirement Planning'!$I$61)&gt;'Retirement Planning'!$J$59,(SUM(Z166:Z177)-'Retirement Planning'!$I$54-'Retirement Planning'!$I$61-'Retirement Planning'!$J$59)*'Retirement Planning'!$I$60+'Retirement Planning'!$K$59,IF((SUM(Z166:Z177)-'Retirement Planning'!$I$54-'Retirement Planning'!$I$61)&gt;'Retirement Planning'!$J$58,(SUM(Z166:Z177)-'Retirement Planning'!$I$54-'Retirement Planning'!$I$61-'Retirement Planning'!$J$58)*'Retirement Planning'!$I$59+'Retirement Planning'!$K$58,IF((SUM(Z166:Z177)-'Retirement Planning'!$I$54-'Retirement Planning'!$I$61)&gt;'Retirement Planning'!$J$57,(SUM(Z166:Z177)-'Retirement Planning'!$I$54-'Retirement Planning'!$I$61-'Retirement Planning'!$J$57)*'Retirement Planning'!$I$58+'Retirement Planning'!$K$57,IF((SUM(Z166:Z177)-'Retirement Planning'!$I$54-'Retirement Planning'!$I$61)&gt;'Retirement Planning'!$J$56,(SUM(Z166:Z177)-'Retirement Planning'!$I$54-'Retirement Planning'!$I$61-'Retirement Planning'!$J$56)*'Retirement Planning'!$I$57+'Retirement Planning'!$K$56,(SUM(Z166:Z177)-'Retirement Planning'!$I$54-'Retirement Planning'!$I$61)*'Retirement Planning'!$I$56))))))/12,AA177)</f>
        <v>1874.4326059920743</v>
      </c>
      <c r="AB178" s="104">
        <f t="shared" ref="AB178:AB241" ca="1" si="79">AB177</f>
        <v>0.21839587904551777</v>
      </c>
      <c r="AC178" s="7">
        <f>IF(B178&lt;65,'Retirement Planning'!$J$28,0)</f>
        <v>0</v>
      </c>
      <c r="AD178" s="7">
        <f>IF(B178&lt;65,'Retirement Planning'!$J$29/12,0)</f>
        <v>0</v>
      </c>
      <c r="AE178" s="22">
        <f>'Retirement Planning'!$J$31/12</f>
        <v>58.333333333333336</v>
      </c>
      <c r="AF178" s="22">
        <f>'Retirement Planning'!$J$32/12</f>
        <v>66.666666666666671</v>
      </c>
      <c r="AG178" s="7">
        <f>IF($B178&gt;64.9,'Retirement Planning'!$J$39/12,0)</f>
        <v>183.33333333333334</v>
      </c>
      <c r="AH178" s="7">
        <f>IF($B178&gt;64.9,'Retirement Planning'!$J$40/12,0)</f>
        <v>258.33333333333331</v>
      </c>
      <c r="AI178" s="7">
        <f>IF($B178&gt;64.9,'Retirement Planning'!$J$41/12,0)</f>
        <v>558.33333333333337</v>
      </c>
      <c r="AJ178" s="7">
        <f t="shared" ca="1" si="59"/>
        <v>316.66666666666663</v>
      </c>
      <c r="AK178" s="3" t="str">
        <f t="shared" ca="1" si="60"/>
        <v>N/A</v>
      </c>
      <c r="AL178" s="6" t="str">
        <f t="shared" ca="1" si="61"/>
        <v>N/A</v>
      </c>
      <c r="AM178" s="7">
        <f t="shared" ca="1" si="62"/>
        <v>1.1368683772161603E-12</v>
      </c>
      <c r="AN178" s="7">
        <f t="shared" ca="1" si="63"/>
        <v>11402.930894222005</v>
      </c>
      <c r="AO178" s="7">
        <f t="shared" si="64"/>
        <v>1125</v>
      </c>
    </row>
    <row r="179" spans="1:41" x14ac:dyDescent="0.2">
      <c r="A179">
        <f t="shared" si="65"/>
        <v>50</v>
      </c>
      <c r="B179" s="5">
        <f t="shared" si="66"/>
        <v>70.400000000000006</v>
      </c>
      <c r="C179" s="56">
        <f t="shared" si="67"/>
        <v>51561</v>
      </c>
      <c r="D179" s="57">
        <f ca="1">IF(AND(B178&lt;59.5,OR(B179&gt;59.5,B179=59.5)),(D178-E178+J178-K178)*(1+'Retirement Planning'!$J$23/12),(D178-E178)*(1+'Retirement Planning'!$J$23/12))</f>
        <v>377443.51557891007</v>
      </c>
      <c r="E179" s="58">
        <f t="shared" ca="1" si="54"/>
        <v>1087.0057097471763</v>
      </c>
      <c r="F179" s="57">
        <f ca="1">IF(AND(OR(B179&gt;59.5,B179=59.5),B178&lt;59.5),(F178-G178+L178-M178+N178-O178)*(1+'Retirement Planning'!$J$23/12),(F178-G178)*(1+'Retirement Planning'!$J$23/12))</f>
        <v>1313946.1452945387</v>
      </c>
      <c r="G179" s="58">
        <f ca="1">IF(AND($B$10&lt;55,B179&lt;59.5),'Retirement Planning'!$J$25,IF(OR(B179&gt;59.5,B179=59.5),MAX(0,MIN(F179,IF(D179&lt;2500,((Y179+AJ179+AA179))-X179,((Y179+AJ179+AA179)*'Retirement Planning'!$J$44)-X179))),0))</f>
        <v>7368.0240243198241</v>
      </c>
      <c r="H179" s="255">
        <f ca="1">IF(MONTH(C179)=1,IF(B179&gt;69.5,F179/(INDEX('Retirement Planning'!D$1:D$264,(160+INT(B179))))/12,0),IF(F179=0,0,H178))</f>
        <v>6133.9515822837384</v>
      </c>
      <c r="I179" s="262">
        <f t="shared" ca="1" si="55"/>
        <v>0</v>
      </c>
      <c r="J179" s="254">
        <f ca="1">IF(AND(B178&lt;59.5,OR(B179=59.5,B179&gt;59.5)),0,(J178-K178)*(1+'Retirement Planning'!$J$23/12))</f>
        <v>0</v>
      </c>
      <c r="K179" s="58">
        <f t="shared" ca="1" si="56"/>
        <v>0</v>
      </c>
      <c r="L179" s="57">
        <f>IF(AND(OR(B179&gt;59.5,B179=59.5),B178&lt;59.5),0,(L178-M178)*(1+'Retirement Planning'!$J$23/12))</f>
        <v>0</v>
      </c>
      <c r="M179" s="59">
        <f>IF(AND($B$10&lt;55,B179&lt;59.5),0,IF(B179&lt;59.5,MAX(0,MIN((($Y179+$AJ179+AA179)*'Retirement Planning'!$J$44)-$G179-$X179,L179)),0))</f>
        <v>0</v>
      </c>
      <c r="N179" s="57">
        <f ca="1">(N178-O178)*(1+'Retirement Planning'!$J$23/12)</f>
        <v>0</v>
      </c>
      <c r="O179" s="59">
        <f ca="1">IF(B179&gt;59.5,MAX(0,MIN((AA179+$Y179+$AJ179)*(IF(D179&lt;(MIN(E167:E178)+1),1,'Retirement Planning'!$J$44))-M179-$G179-$X179-(IF(D179&lt;(MIN(E167:E178)+1),D179,0)),N179)),0)</f>
        <v>0</v>
      </c>
      <c r="P179" s="57">
        <f t="shared" si="68"/>
        <v>0</v>
      </c>
      <c r="Q179" s="58">
        <f t="shared" si="69"/>
        <v>0</v>
      </c>
      <c r="R179" s="57">
        <f ca="1">(R178-S178-T178)*(1+'Retirement Planning'!$J$23/12)</f>
        <v>405202.80181620189</v>
      </c>
      <c r="S179" s="58">
        <f t="shared" ca="1" si="70"/>
        <v>808.33333333333337</v>
      </c>
      <c r="T179" s="273">
        <f t="shared" ca="1" si="57"/>
        <v>1.3642420526593924E-12</v>
      </c>
      <c r="U179" s="57">
        <f ca="1">(U178-V178)*(1+'Retirement Planning'!$J$23/12)</f>
        <v>313328.85908352962</v>
      </c>
      <c r="V179" s="24">
        <f ca="1">IF(AND($B$10&lt;55,B179&lt;59.5),MIN(U179,MAX(0,(Y179+AA179+AJ179-G179)*'Retirement Planning'!$J$45)),IF(B179&lt;59.5,(MIN(U179,MAX(0,((Y179+AA179+AJ179)-G179-M179)*'Retirement Planning'!$J$45))),MIN(U179,MAX(0,(Y179+AA179+AJ179-G179-M179-K179-X179)*'Retirement Planning'!$J$45))))</f>
        <v>925.96782682166963</v>
      </c>
      <c r="W179" s="7">
        <f t="shared" ca="1" si="58"/>
        <v>2409921.3217731803</v>
      </c>
      <c r="X179" s="7">
        <f>(IF(B179&gt;'Retirement Planning'!$J$34,IF('Retirement Planning'!$J$34=70,'Retirement Planning'!$J$37/12,IF('Retirement Planning'!$J$34=67,'Retirement Planning'!$J$36/12,'Retirement Planning'!$J$35/12)),0))*'Retirement Planning'!$J$38</f>
        <v>1213.6000000000001</v>
      </c>
      <c r="Y179" s="7">
        <f ca="1">'Retirement Planning'!$F$35*((1+'Retirement Planning'!$J$24)^(YEAR('Projected Retirement Drawdown'!C179)-YEAR(TODAY())))</f>
        <v>8403.49828822993</v>
      </c>
      <c r="Z179" s="7">
        <f ca="1">G179+M179+O179+0.85*X179+V179*'Retirement Planning'!$J$46+T179</f>
        <v>8908.8663290717432</v>
      </c>
      <c r="AA179" s="7">
        <f ca="1">IF(MONTH(C179)=1,(((MIN(MAX(0,((SUM(Z167:Z178)-'Retirement Planning'!$I$53-'Retirement Planning'!$I$54)-'Retirement Planning'!$J$51)*'Retirement Planning'!$I$52))))+(MIN(MAX(0,((SUM(Z167:Z178)-'Retirement Planning'!$I$53-'Retirement Planning'!$I$54)-'Retirement Planning'!$J$50)*'Retirement Planning'!$I$51),('Retirement Planning'!$J$51-'Retirement Planning'!$J$50)*'Retirement Planning'!$I$51))+(MIN(MAX(0,((SUM(Z167:Z178)-'Retirement Planning'!$I$53-'Retirement Planning'!$I$54)-'Retirement Planning'!$J$49)*'Retirement Planning'!$I$50),('Retirement Planning'!$J$50-'Retirement Planning'!$J$49)*'Retirement Planning'!$I$50)+MIN(MAX(0,((SUM(Z167:Z178)-'Retirement Planning'!$I$53-'Retirement Planning'!$I$54)-'Retirement Planning'!$J$48)*'Retirement Planning'!$I$49),('Retirement Planning'!$J$49-'Retirement Planning'!$J$48)*'Retirement Planning'!$I$49)+MIN(((SUM(Z167:Z178)-'Retirement Planning'!$I$53-'Retirement Planning'!$I$54))*'Retirement Planning'!$I$48,('Retirement Planning'!$J$48)*'Retirement Planning'!$I$48))+(IF((SUM(Z167:Z178)-'Retirement Planning'!$I$54-'Retirement Planning'!$I$61)&gt;'Retirement Planning'!$J$59,(SUM(Z167:Z178)-'Retirement Planning'!$I$54-'Retirement Planning'!$I$61-'Retirement Planning'!$J$59)*'Retirement Planning'!$I$60+'Retirement Planning'!$K$59,IF((SUM(Z167:Z178)-'Retirement Planning'!$I$54-'Retirement Planning'!$I$61)&gt;'Retirement Planning'!$J$58,(SUM(Z167:Z178)-'Retirement Planning'!$I$54-'Retirement Planning'!$I$61-'Retirement Planning'!$J$58)*'Retirement Planning'!$I$59+'Retirement Planning'!$K$58,IF((SUM(Z167:Z178)-'Retirement Planning'!$I$54-'Retirement Planning'!$I$61)&gt;'Retirement Planning'!$J$57,(SUM(Z167:Z178)-'Retirement Planning'!$I$54-'Retirement Planning'!$I$61-'Retirement Planning'!$J$57)*'Retirement Planning'!$I$58+'Retirement Planning'!$K$57,IF((SUM(Z167:Z178)-'Retirement Planning'!$I$54-'Retirement Planning'!$I$61)&gt;'Retirement Planning'!$J$56,(SUM(Z167:Z178)-'Retirement Planning'!$I$54-'Retirement Planning'!$I$61-'Retirement Planning'!$J$56)*'Retirement Planning'!$I$57+'Retirement Planning'!$K$56,(SUM(Z167:Z178)-'Retirement Planning'!$I$54-'Retirement Planning'!$I$61)*'Retirement Planning'!$I$56))))))/12,AA178)</f>
        <v>1874.4326059920743</v>
      </c>
      <c r="AB179" s="104">
        <f t="shared" ca="1" si="77"/>
        <v>0.21839587904551777</v>
      </c>
      <c r="AC179" s="7">
        <f>IF(B179&lt;65,'Retirement Planning'!$J$28,0)</f>
        <v>0</v>
      </c>
      <c r="AD179" s="7">
        <f>IF(B179&lt;65,'Retirement Planning'!$J$29/12,0)</f>
        <v>0</v>
      </c>
      <c r="AE179" s="22">
        <f>'Retirement Planning'!$J$31/12</f>
        <v>58.333333333333336</v>
      </c>
      <c r="AF179" s="22">
        <f>'Retirement Planning'!$J$32/12</f>
        <v>66.666666666666671</v>
      </c>
      <c r="AG179" s="7">
        <f>IF($B179&gt;64.9,'Retirement Planning'!$J$39/12,0)</f>
        <v>183.33333333333334</v>
      </c>
      <c r="AH179" s="7">
        <f>IF($B179&gt;64.9,'Retirement Planning'!$J$40/12,0)</f>
        <v>258.33333333333331</v>
      </c>
      <c r="AI179" s="7">
        <f>IF($B179&gt;64.9,'Retirement Planning'!$J$41/12,0)</f>
        <v>558.33333333333337</v>
      </c>
      <c r="AJ179" s="7">
        <f t="shared" ca="1" si="59"/>
        <v>316.66666666666663</v>
      </c>
      <c r="AK179" s="3" t="str">
        <f t="shared" ca="1" si="60"/>
        <v>N/A</v>
      </c>
      <c r="AL179" s="6" t="str">
        <f t="shared" ca="1" si="61"/>
        <v>N/A</v>
      </c>
      <c r="AM179" s="7">
        <f t="shared" ca="1" si="62"/>
        <v>1.1368683772161603E-12</v>
      </c>
      <c r="AN179" s="7">
        <f t="shared" ca="1" si="63"/>
        <v>11402.930894222005</v>
      </c>
      <c r="AO179" s="7">
        <f t="shared" si="64"/>
        <v>1125</v>
      </c>
    </row>
    <row r="180" spans="1:41" x14ac:dyDescent="0.2">
      <c r="A180">
        <f t="shared" si="65"/>
        <v>50</v>
      </c>
      <c r="B180" s="5">
        <f t="shared" si="66"/>
        <v>70.5</v>
      </c>
      <c r="C180" s="56">
        <f t="shared" si="67"/>
        <v>51592</v>
      </c>
      <c r="D180" s="57">
        <f ca="1">IF(AND(B179&lt;59.5,OR(B180&gt;59.5,B180=59.5)),(D179-E179+J179-K179)*(1+'Retirement Planning'!$J$23/12),(D179-E179)*(1+'Retirement Planning'!$J$23/12))</f>
        <v>379022.3684807361</v>
      </c>
      <c r="E180" s="58">
        <f t="shared" ca="1" si="54"/>
        <v>1087.0057097471763</v>
      </c>
      <c r="F180" s="57">
        <f ca="1">IF(AND(OR(B180&gt;59.5,B180=59.5),B179&lt;59.5),(F179-G179+L179-M179+N179-O179)*(1+'Retirement Planning'!$J$23/12),(F179-G179)*(1+'Retirement Planning'!$J$23/12))</f>
        <v>1315833.0496292163</v>
      </c>
      <c r="G180" s="58">
        <f ca="1">IF(AND($B$10&lt;55,B180&lt;59.5),'Retirement Planning'!$J$25,IF(OR(B180&gt;59.5,B180=59.5),MAX(0,MIN(F180,IF(D180&lt;2500,((Y180+AJ180+AA180))-X180,((Y180+AJ180+AA180)*'Retirement Planning'!$J$44)-X180))),0))</f>
        <v>7368.0240243198241</v>
      </c>
      <c r="H180" s="255">
        <f ca="1">IF(MONTH(C180)=1,IF(B180&gt;69.5,F180/(INDEX('Retirement Planning'!D$1:D$264,(160+INT(B180))))/12,0),IF(F180=0,0,H179))</f>
        <v>6133.9515822837384</v>
      </c>
      <c r="I180" s="262">
        <f t="shared" ca="1" si="55"/>
        <v>0</v>
      </c>
      <c r="J180" s="254">
        <f ca="1">IF(AND(B179&lt;59.5,OR(B180=59.5,B180&gt;59.5)),0,(J179-K179)*(1+'Retirement Planning'!$J$23/12))</f>
        <v>0</v>
      </c>
      <c r="K180" s="58">
        <f t="shared" ca="1" si="56"/>
        <v>0</v>
      </c>
      <c r="L180" s="57">
        <f>IF(AND(OR(B180&gt;59.5,B180=59.5),B179&lt;59.5),0,(L179-M179)*(1+'Retirement Planning'!$J$23/12))</f>
        <v>0</v>
      </c>
      <c r="M180" s="59">
        <f>IF(AND($B$10&lt;55,B180&lt;59.5),0,IF(B180&lt;59.5,MAX(0,MIN((($Y180+$AJ180+AA180)*'Retirement Planning'!$J$44)-$G180-$X180,L180)),0))</f>
        <v>0</v>
      </c>
      <c r="N180" s="57">
        <f ca="1">(N179-O179)*(1+'Retirement Planning'!$J$23/12)</f>
        <v>0</v>
      </c>
      <c r="O180" s="59">
        <f ca="1">IF(B180&gt;59.5,MAX(0,MIN((AA180+$Y180+$AJ180)*(IF(D180&lt;(MIN(E168:E179)+1),1,'Retirement Planning'!$J$44))-M180-$G180-$X180-(IF(D180&lt;(MIN(E168:E179)+1),D180,0)),N180)),0)</f>
        <v>0</v>
      </c>
      <c r="P180" s="57">
        <f t="shared" si="68"/>
        <v>0</v>
      </c>
      <c r="Q180" s="58">
        <f t="shared" si="69"/>
        <v>0</v>
      </c>
      <c r="R180" s="57">
        <f ca="1">(R179-S179-T179)*(1+'Retirement Planning'!$J$23/12)</f>
        <v>407258.92930128891</v>
      </c>
      <c r="S180" s="58">
        <f t="shared" ca="1" si="70"/>
        <v>808.33333333333337</v>
      </c>
      <c r="T180" s="273">
        <f t="shared" ca="1" si="57"/>
        <v>1.3642420526593924E-12</v>
      </c>
      <c r="U180" s="57">
        <f ca="1">(U179-V179)*(1+'Retirement Planning'!$J$23/12)</f>
        <v>314615.74506977631</v>
      </c>
      <c r="V180" s="24">
        <f ca="1">IF(AND($B$10&lt;55,B180&lt;59.5),MIN(U180,MAX(0,(Y180+AA180+AJ180-G180)*'Retirement Planning'!$J$45)),IF(B180&lt;59.5,(MIN(U180,MAX(0,((Y180+AA180+AJ180)-G180-M180)*'Retirement Planning'!$J$45))),MIN(U180,MAX(0,(Y180+AA180+AJ180-G180-M180-K180-X180)*'Retirement Planning'!$J$45))))</f>
        <v>925.96782682166963</v>
      </c>
      <c r="W180" s="7">
        <f t="shared" ca="1" si="58"/>
        <v>2416730.0924810176</v>
      </c>
      <c r="X180" s="7">
        <f>(IF(B180&gt;'Retirement Planning'!$J$34,IF('Retirement Planning'!$J$34=70,'Retirement Planning'!$J$37/12,IF('Retirement Planning'!$J$34=67,'Retirement Planning'!$J$36/12,'Retirement Planning'!$J$35/12)),0))*'Retirement Planning'!$J$38</f>
        <v>1213.6000000000001</v>
      </c>
      <c r="Y180" s="7">
        <f ca="1">'Retirement Planning'!$F$35*((1+'Retirement Planning'!$J$24)^(YEAR('Projected Retirement Drawdown'!C180)-YEAR(TODAY())))</f>
        <v>8403.49828822993</v>
      </c>
      <c r="Z180" s="7">
        <f ca="1">G180+M180+O180+0.85*X180+V180*'Retirement Planning'!$J$46+T180</f>
        <v>8908.8663290717432</v>
      </c>
      <c r="AA180" s="7">
        <f ca="1">IF(MONTH(C180)=1,(((MIN(MAX(0,((SUM(Z168:Z179)-'Retirement Planning'!$I$53-'Retirement Planning'!$I$54)-'Retirement Planning'!$J$51)*'Retirement Planning'!$I$52))))+(MIN(MAX(0,((SUM(Z168:Z179)-'Retirement Planning'!$I$53-'Retirement Planning'!$I$54)-'Retirement Planning'!$J$50)*'Retirement Planning'!$I$51),('Retirement Planning'!$J$51-'Retirement Planning'!$J$50)*'Retirement Planning'!$I$51))+(MIN(MAX(0,((SUM(Z168:Z179)-'Retirement Planning'!$I$53-'Retirement Planning'!$I$54)-'Retirement Planning'!$J$49)*'Retirement Planning'!$I$50),('Retirement Planning'!$J$50-'Retirement Planning'!$J$49)*'Retirement Planning'!$I$50)+MIN(MAX(0,((SUM(Z168:Z179)-'Retirement Planning'!$I$53-'Retirement Planning'!$I$54)-'Retirement Planning'!$J$48)*'Retirement Planning'!$I$49),('Retirement Planning'!$J$49-'Retirement Planning'!$J$48)*'Retirement Planning'!$I$49)+MIN(((SUM(Z168:Z179)-'Retirement Planning'!$I$53-'Retirement Planning'!$I$54))*'Retirement Planning'!$I$48,('Retirement Planning'!$J$48)*'Retirement Planning'!$I$48))+(IF((SUM(Z168:Z179)-'Retirement Planning'!$I$54-'Retirement Planning'!$I$61)&gt;'Retirement Planning'!$J$59,(SUM(Z168:Z179)-'Retirement Planning'!$I$54-'Retirement Planning'!$I$61-'Retirement Planning'!$J$59)*'Retirement Planning'!$I$60+'Retirement Planning'!$K$59,IF((SUM(Z168:Z179)-'Retirement Planning'!$I$54-'Retirement Planning'!$I$61)&gt;'Retirement Planning'!$J$58,(SUM(Z168:Z179)-'Retirement Planning'!$I$54-'Retirement Planning'!$I$61-'Retirement Planning'!$J$58)*'Retirement Planning'!$I$59+'Retirement Planning'!$K$58,IF((SUM(Z168:Z179)-'Retirement Planning'!$I$54-'Retirement Planning'!$I$61)&gt;'Retirement Planning'!$J$57,(SUM(Z168:Z179)-'Retirement Planning'!$I$54-'Retirement Planning'!$I$61-'Retirement Planning'!$J$57)*'Retirement Planning'!$I$58+'Retirement Planning'!$K$57,IF((SUM(Z168:Z179)-'Retirement Planning'!$I$54-'Retirement Planning'!$I$61)&gt;'Retirement Planning'!$J$56,(SUM(Z168:Z179)-'Retirement Planning'!$I$54-'Retirement Planning'!$I$61-'Retirement Planning'!$J$56)*'Retirement Planning'!$I$57+'Retirement Planning'!$K$56,(SUM(Z168:Z179)-'Retirement Planning'!$I$54-'Retirement Planning'!$I$61)*'Retirement Planning'!$I$56))))))/12,AA179)</f>
        <v>1874.4326059920743</v>
      </c>
      <c r="AB180" s="104">
        <f t="shared" ca="1" si="77"/>
        <v>0.21839587904551777</v>
      </c>
      <c r="AC180" s="7">
        <f>IF(B180&lt;65,'Retirement Planning'!$J$28,0)</f>
        <v>0</v>
      </c>
      <c r="AD180" s="7">
        <f>IF(B180&lt;65,'Retirement Planning'!$J$29/12,0)</f>
        <v>0</v>
      </c>
      <c r="AE180" s="22">
        <f>'Retirement Planning'!$J$31/12</f>
        <v>58.333333333333336</v>
      </c>
      <c r="AF180" s="22">
        <f>'Retirement Planning'!$J$32/12</f>
        <v>66.666666666666671</v>
      </c>
      <c r="AG180" s="7">
        <f>IF($B180&gt;64.9,'Retirement Planning'!$J$39/12,0)</f>
        <v>183.33333333333334</v>
      </c>
      <c r="AH180" s="7">
        <f>IF($B180&gt;64.9,'Retirement Planning'!$J$40/12,0)</f>
        <v>258.33333333333331</v>
      </c>
      <c r="AI180" s="7">
        <f>IF($B180&gt;64.9,'Retirement Planning'!$J$41/12,0)</f>
        <v>558.33333333333337</v>
      </c>
      <c r="AJ180" s="7">
        <f t="shared" ca="1" si="59"/>
        <v>316.66666666666663</v>
      </c>
      <c r="AK180" s="3" t="str">
        <f t="shared" ca="1" si="60"/>
        <v>N/A</v>
      </c>
      <c r="AL180" s="6" t="str">
        <f t="shared" ca="1" si="61"/>
        <v>N/A</v>
      </c>
      <c r="AM180" s="7">
        <f t="shared" ca="1" si="62"/>
        <v>1.1368683772161603E-12</v>
      </c>
      <c r="AN180" s="7">
        <f t="shared" ca="1" si="63"/>
        <v>11402.930894222005</v>
      </c>
      <c r="AO180" s="7">
        <f t="shared" si="64"/>
        <v>1125</v>
      </c>
    </row>
    <row r="181" spans="1:41" x14ac:dyDescent="0.2">
      <c r="A181">
        <f t="shared" si="65"/>
        <v>50</v>
      </c>
      <c r="B181" s="5">
        <f t="shared" si="66"/>
        <v>70.5</v>
      </c>
      <c r="C181" s="56">
        <f t="shared" si="67"/>
        <v>51622</v>
      </c>
      <c r="D181" s="57">
        <f ca="1">IF(AND(B180&lt;59.5,OR(B181&gt;59.5,B181=59.5)),(D180-E180+J180-K180)*(1+'Retirement Planning'!$J$23/12),(D180-E180)*(1+'Retirement Planning'!$J$23/12))</f>
        <v>380612.40492395009</v>
      </c>
      <c r="E181" s="58">
        <f t="shared" ca="1" si="54"/>
        <v>1087.0057097471763</v>
      </c>
      <c r="F181" s="57">
        <f ca="1">IF(AND(OR(B181&gt;59.5,B181=59.5),B180&lt;59.5),(F180-G180+L180-M180+N180-O180)*(1+'Retirement Planning'!$J$23/12),(F180-G180)*(1+'Retirement Planning'!$J$23/12))</f>
        <v>1317733.3195362645</v>
      </c>
      <c r="G181" s="58">
        <f ca="1">IF(AND($B$10&lt;55,B181&lt;59.5),'Retirement Planning'!$J$25,IF(OR(B181&gt;59.5,B181=59.5),MAX(0,MIN(F181,IF(D181&lt;2500,((Y181+AJ181+AA181))-X181,((Y181+AJ181+AA181)*'Retirement Planning'!$J$44)-X181))),0))</f>
        <v>7368.0240243198241</v>
      </c>
      <c r="H181" s="255">
        <f ca="1">IF(MONTH(C181)=1,IF(B181&gt;69.5,F181/(INDEX('Retirement Planning'!D$1:D$264,(160+INT(B181))))/12,0),IF(F181=0,0,H180))</f>
        <v>6133.9515822837384</v>
      </c>
      <c r="I181" s="262">
        <f t="shared" ca="1" si="55"/>
        <v>0</v>
      </c>
      <c r="J181" s="254">
        <f ca="1">IF(AND(B180&lt;59.5,OR(B181=59.5,B181&gt;59.5)),0,(J180-K180)*(1+'Retirement Planning'!$J$23/12))</f>
        <v>0</v>
      </c>
      <c r="K181" s="58">
        <f t="shared" ca="1" si="56"/>
        <v>0</v>
      </c>
      <c r="L181" s="57">
        <f>IF(AND(OR(B181&gt;59.5,B181=59.5),B180&lt;59.5),0,(L180-M180)*(1+'Retirement Planning'!$J$23/12))</f>
        <v>0</v>
      </c>
      <c r="M181" s="59">
        <f>IF(AND($B$10&lt;55,B181&lt;59.5),0,IF(B181&lt;59.5,MAX(0,MIN((($Y181+$AJ181+AA181)*'Retirement Planning'!$J$44)-$G181-$X181,L181)),0))</f>
        <v>0</v>
      </c>
      <c r="N181" s="57">
        <f ca="1">(N180-O180)*(1+'Retirement Planning'!$J$23/12)</f>
        <v>0</v>
      </c>
      <c r="O181" s="59">
        <f ca="1">IF(B181&gt;59.5,MAX(0,MIN((AA181+$Y181+$AJ181)*(IF(D181&lt;(MIN(E169:E180)+1),1,'Retirement Planning'!$J$44))-M181-$G181-$X181-(IF(D181&lt;(MIN(E169:E180)+1),D181,0)),N181)),0)</f>
        <v>0</v>
      </c>
      <c r="P181" s="57">
        <f t="shared" si="68"/>
        <v>0</v>
      </c>
      <c r="Q181" s="58">
        <f t="shared" si="69"/>
        <v>0</v>
      </c>
      <c r="R181" s="57">
        <f ca="1">(R180-S180-T180)*(1+'Retirement Planning'!$J$23/12)</f>
        <v>409329.62102272862</v>
      </c>
      <c r="S181" s="58">
        <f t="shared" ca="1" si="70"/>
        <v>808.33333333333337</v>
      </c>
      <c r="T181" s="273">
        <f t="shared" ca="1" si="57"/>
        <v>1.3642420526593924E-12</v>
      </c>
      <c r="U181" s="57">
        <f ca="1">(U180-V180)*(1+'Retirement Planning'!$J$23/12)</f>
        <v>315911.74649842555</v>
      </c>
      <c r="V181" s="24">
        <f ca="1">IF(AND($B$10&lt;55,B181&lt;59.5),MIN(U181,MAX(0,(Y181+AA181+AJ181-G181)*'Retirement Planning'!$J$45)),IF(B181&lt;59.5,(MIN(U181,MAX(0,((Y181+AA181+AJ181)-G181-M181)*'Retirement Planning'!$J$45))),MIN(U181,MAX(0,(Y181+AA181+AJ181-G181-M181-K181-X181)*'Retirement Planning'!$J$45))))</f>
        <v>925.96782682166963</v>
      </c>
      <c r="W181" s="7">
        <f t="shared" ca="1" si="58"/>
        <v>2423587.0919813686</v>
      </c>
      <c r="X181" s="7">
        <f>(IF(B181&gt;'Retirement Planning'!$J$34,IF('Retirement Planning'!$J$34=70,'Retirement Planning'!$J$37/12,IF('Retirement Planning'!$J$34=67,'Retirement Planning'!$J$36/12,'Retirement Planning'!$J$35/12)),0))*'Retirement Planning'!$J$38</f>
        <v>1213.6000000000001</v>
      </c>
      <c r="Y181" s="7">
        <f ca="1">'Retirement Planning'!$F$35*((1+'Retirement Planning'!$J$24)^(YEAR('Projected Retirement Drawdown'!C181)-YEAR(TODAY())))</f>
        <v>8403.49828822993</v>
      </c>
      <c r="Z181" s="7">
        <f ca="1">G181+M181+O181+0.85*X181+V181*'Retirement Planning'!$J$46+T181</f>
        <v>8908.8663290717432</v>
      </c>
      <c r="AA181" s="7">
        <f ca="1">IF(MONTH(C181)=1,(((MIN(MAX(0,((SUM(Z169:Z180)-'Retirement Planning'!$I$53-'Retirement Planning'!$I$54)-'Retirement Planning'!$J$51)*'Retirement Planning'!$I$52))))+(MIN(MAX(0,((SUM(Z169:Z180)-'Retirement Planning'!$I$53-'Retirement Planning'!$I$54)-'Retirement Planning'!$J$50)*'Retirement Planning'!$I$51),('Retirement Planning'!$J$51-'Retirement Planning'!$J$50)*'Retirement Planning'!$I$51))+(MIN(MAX(0,((SUM(Z169:Z180)-'Retirement Planning'!$I$53-'Retirement Planning'!$I$54)-'Retirement Planning'!$J$49)*'Retirement Planning'!$I$50),('Retirement Planning'!$J$50-'Retirement Planning'!$J$49)*'Retirement Planning'!$I$50)+MIN(MAX(0,((SUM(Z169:Z180)-'Retirement Planning'!$I$53-'Retirement Planning'!$I$54)-'Retirement Planning'!$J$48)*'Retirement Planning'!$I$49),('Retirement Planning'!$J$49-'Retirement Planning'!$J$48)*'Retirement Planning'!$I$49)+MIN(((SUM(Z169:Z180)-'Retirement Planning'!$I$53-'Retirement Planning'!$I$54))*'Retirement Planning'!$I$48,('Retirement Planning'!$J$48)*'Retirement Planning'!$I$48))+(IF((SUM(Z169:Z180)-'Retirement Planning'!$I$54-'Retirement Planning'!$I$61)&gt;'Retirement Planning'!$J$59,(SUM(Z169:Z180)-'Retirement Planning'!$I$54-'Retirement Planning'!$I$61-'Retirement Planning'!$J$59)*'Retirement Planning'!$I$60+'Retirement Planning'!$K$59,IF((SUM(Z169:Z180)-'Retirement Planning'!$I$54-'Retirement Planning'!$I$61)&gt;'Retirement Planning'!$J$58,(SUM(Z169:Z180)-'Retirement Planning'!$I$54-'Retirement Planning'!$I$61-'Retirement Planning'!$J$58)*'Retirement Planning'!$I$59+'Retirement Planning'!$K$58,IF((SUM(Z169:Z180)-'Retirement Planning'!$I$54-'Retirement Planning'!$I$61)&gt;'Retirement Planning'!$J$57,(SUM(Z169:Z180)-'Retirement Planning'!$I$54-'Retirement Planning'!$I$61-'Retirement Planning'!$J$57)*'Retirement Planning'!$I$58+'Retirement Planning'!$K$57,IF((SUM(Z169:Z180)-'Retirement Planning'!$I$54-'Retirement Planning'!$I$61)&gt;'Retirement Planning'!$J$56,(SUM(Z169:Z180)-'Retirement Planning'!$I$54-'Retirement Planning'!$I$61-'Retirement Planning'!$J$56)*'Retirement Planning'!$I$57+'Retirement Planning'!$K$56,(SUM(Z169:Z180)-'Retirement Planning'!$I$54-'Retirement Planning'!$I$61)*'Retirement Planning'!$I$56))))))/12,AA180)</f>
        <v>1874.4326059920743</v>
      </c>
      <c r="AB181" s="104">
        <f t="shared" ca="1" si="77"/>
        <v>0.21839587904551777</v>
      </c>
      <c r="AC181" s="7">
        <f>IF(B181&lt;65,'Retirement Planning'!$J$28,0)</f>
        <v>0</v>
      </c>
      <c r="AD181" s="7">
        <f>IF(B181&lt;65,'Retirement Planning'!$J$29/12,0)</f>
        <v>0</v>
      </c>
      <c r="AE181" s="22">
        <f>'Retirement Planning'!$J$31/12</f>
        <v>58.333333333333336</v>
      </c>
      <c r="AF181" s="22">
        <f>'Retirement Planning'!$J$32/12</f>
        <v>66.666666666666671</v>
      </c>
      <c r="AG181" s="7">
        <f>IF($B181&gt;64.9,'Retirement Planning'!$J$39/12,0)</f>
        <v>183.33333333333334</v>
      </c>
      <c r="AH181" s="7">
        <f>IF($B181&gt;64.9,'Retirement Planning'!$J$40/12,0)</f>
        <v>258.33333333333331</v>
      </c>
      <c r="AI181" s="7">
        <f>IF($B181&gt;64.9,'Retirement Planning'!$J$41/12,0)</f>
        <v>558.33333333333337</v>
      </c>
      <c r="AJ181" s="7">
        <f t="shared" ca="1" si="59"/>
        <v>316.66666666666663</v>
      </c>
      <c r="AK181" s="3" t="str">
        <f t="shared" ca="1" si="60"/>
        <v>N/A</v>
      </c>
      <c r="AL181" s="6" t="str">
        <f t="shared" ca="1" si="61"/>
        <v>N/A</v>
      </c>
      <c r="AM181" s="7">
        <f t="shared" ca="1" si="62"/>
        <v>1.1368683772161603E-12</v>
      </c>
      <c r="AN181" s="7">
        <f t="shared" ca="1" si="63"/>
        <v>11402.930894222005</v>
      </c>
      <c r="AO181" s="7">
        <f t="shared" si="64"/>
        <v>1125</v>
      </c>
    </row>
    <row r="182" spans="1:41" x14ac:dyDescent="0.2">
      <c r="A182">
        <f t="shared" si="65"/>
        <v>50</v>
      </c>
      <c r="B182" s="5">
        <f t="shared" si="66"/>
        <v>70.599999999999994</v>
      </c>
      <c r="C182" s="56">
        <f t="shared" si="67"/>
        <v>51653</v>
      </c>
      <c r="D182" s="57">
        <f ca="1">IF(AND(B181&lt;59.5,OR(B182&gt;59.5,B182=59.5)),(D181-E181+J181-K181)*(1+'Retirement Planning'!$J$23/12),(D181-E181)*(1+'Retirement Planning'!$J$23/12))</f>
        <v>382213.70412530348</v>
      </c>
      <c r="E182" s="58">
        <f t="shared" ca="1" si="54"/>
        <v>1087.0057097471763</v>
      </c>
      <c r="F182" s="57">
        <f ca="1">IF(AND(OR(B182&gt;59.5,B182=59.5),B181&lt;59.5),(F181-G181+L181-M181+N181-O181)*(1+'Retirement Planning'!$J$23/12),(F181-G181)*(1+'Retirement Planning'!$J$23/12))</f>
        <v>1319647.0496884875</v>
      </c>
      <c r="G182" s="58">
        <f ca="1">IF(AND($B$10&lt;55,B182&lt;59.5),'Retirement Planning'!$J$25,IF(OR(B182&gt;59.5,B182=59.5),MAX(0,MIN(F182,IF(D182&lt;2500,((Y182+AJ182+AA182))-X182,((Y182+AJ182+AA182)*'Retirement Planning'!$J$44)-X182))),0))</f>
        <v>7368.0240243198241</v>
      </c>
      <c r="H182" s="255">
        <f ca="1">IF(MONTH(C182)=1,IF(B182&gt;69.5,F182/(INDEX('Retirement Planning'!D$1:D$264,(160+INT(B182))))/12,0),IF(F182=0,0,H181))</f>
        <v>6133.9515822837384</v>
      </c>
      <c r="I182" s="262">
        <f t="shared" ca="1" si="55"/>
        <v>0</v>
      </c>
      <c r="J182" s="254">
        <f ca="1">IF(AND(B181&lt;59.5,OR(B182=59.5,B182&gt;59.5)),0,(J181-K181)*(1+'Retirement Planning'!$J$23/12))</f>
        <v>0</v>
      </c>
      <c r="K182" s="58">
        <f t="shared" ca="1" si="56"/>
        <v>0</v>
      </c>
      <c r="L182" s="57">
        <f>IF(AND(OR(B182&gt;59.5,B182=59.5),B181&lt;59.5),0,(L181-M181)*(1+'Retirement Planning'!$J$23/12))</f>
        <v>0</v>
      </c>
      <c r="M182" s="59">
        <f>IF(AND($B$10&lt;55,B182&lt;59.5),0,IF(B182&lt;59.5,MAX(0,MIN((($Y182+$AJ182+AA182)*'Retirement Planning'!$J$44)-$G182-$X182,L182)),0))</f>
        <v>0</v>
      </c>
      <c r="N182" s="57">
        <f ca="1">(N181-O181)*(1+'Retirement Planning'!$J$23/12)</f>
        <v>0</v>
      </c>
      <c r="O182" s="59">
        <f ca="1">IF(B182&gt;59.5,MAX(0,MIN((AA182+$Y182+$AJ182)*(IF(D182&lt;(MIN(E170:E181)+1),1,'Retirement Planning'!$J$44))-M182-$G182-$X182-(IF(D182&lt;(MIN(E170:E181)+1),D182,0)),N182)),0)</f>
        <v>0</v>
      </c>
      <c r="P182" s="57">
        <f t="shared" si="68"/>
        <v>0</v>
      </c>
      <c r="Q182" s="58">
        <f t="shared" si="69"/>
        <v>0</v>
      </c>
      <c r="R182" s="57">
        <f ca="1">(R181-S181-T181)*(1+'Retirement Planning'!$J$23/12)</f>
        <v>411414.98014386185</v>
      </c>
      <c r="S182" s="58">
        <f t="shared" ca="1" si="70"/>
        <v>808.33333333333337</v>
      </c>
      <c r="T182" s="273">
        <f t="shared" ca="1" si="57"/>
        <v>1.3642420526593924E-12</v>
      </c>
      <c r="U182" s="57">
        <f ca="1">(U181-V181)*(1+'Retirement Planning'!$J$23/12)</f>
        <v>317216.92793719441</v>
      </c>
      <c r="V182" s="24">
        <f ca="1">IF(AND($B$10&lt;55,B182&lt;59.5),MIN(U182,MAX(0,(Y182+AA182+AJ182-G182)*'Retirement Planning'!$J$45)),IF(B182&lt;59.5,(MIN(U182,MAX(0,((Y182+AA182+AJ182)-G182-M182)*'Retirement Planning'!$J$45))),MIN(U182,MAX(0,(Y182+AA182+AJ182-G182-M182-K182-X182)*'Retirement Planning'!$J$45))))</f>
        <v>925.96782682166963</v>
      </c>
      <c r="W182" s="7">
        <f t="shared" ca="1" si="58"/>
        <v>2430492.6618948472</v>
      </c>
      <c r="X182" s="7">
        <f>(IF(B182&gt;'Retirement Planning'!$J$34,IF('Retirement Planning'!$J$34=70,'Retirement Planning'!$J$37/12,IF('Retirement Planning'!$J$34=67,'Retirement Planning'!$J$36/12,'Retirement Planning'!$J$35/12)),0))*'Retirement Planning'!$J$38</f>
        <v>1213.6000000000001</v>
      </c>
      <c r="Y182" s="7">
        <f ca="1">'Retirement Planning'!$F$35*((1+'Retirement Planning'!$J$24)^(YEAR('Projected Retirement Drawdown'!C182)-YEAR(TODAY())))</f>
        <v>8403.49828822993</v>
      </c>
      <c r="Z182" s="7">
        <f ca="1">G182+M182+O182+0.85*X182+V182*'Retirement Planning'!$J$46+T182</f>
        <v>8908.8663290717432</v>
      </c>
      <c r="AA182" s="7">
        <f ca="1">IF(MONTH(C182)=1,(((MIN(MAX(0,((SUM(Z170:Z181)-'Retirement Planning'!$I$53-'Retirement Planning'!$I$54)-'Retirement Planning'!$J$51)*'Retirement Planning'!$I$52))))+(MIN(MAX(0,((SUM(Z170:Z181)-'Retirement Planning'!$I$53-'Retirement Planning'!$I$54)-'Retirement Planning'!$J$50)*'Retirement Planning'!$I$51),('Retirement Planning'!$J$51-'Retirement Planning'!$J$50)*'Retirement Planning'!$I$51))+(MIN(MAX(0,((SUM(Z170:Z181)-'Retirement Planning'!$I$53-'Retirement Planning'!$I$54)-'Retirement Planning'!$J$49)*'Retirement Planning'!$I$50),('Retirement Planning'!$J$50-'Retirement Planning'!$J$49)*'Retirement Planning'!$I$50)+MIN(MAX(0,((SUM(Z170:Z181)-'Retirement Planning'!$I$53-'Retirement Planning'!$I$54)-'Retirement Planning'!$J$48)*'Retirement Planning'!$I$49),('Retirement Planning'!$J$49-'Retirement Planning'!$J$48)*'Retirement Planning'!$I$49)+MIN(((SUM(Z170:Z181)-'Retirement Planning'!$I$53-'Retirement Planning'!$I$54))*'Retirement Planning'!$I$48,('Retirement Planning'!$J$48)*'Retirement Planning'!$I$48))+(IF((SUM(Z170:Z181)-'Retirement Planning'!$I$54-'Retirement Planning'!$I$61)&gt;'Retirement Planning'!$J$59,(SUM(Z170:Z181)-'Retirement Planning'!$I$54-'Retirement Planning'!$I$61-'Retirement Planning'!$J$59)*'Retirement Planning'!$I$60+'Retirement Planning'!$K$59,IF((SUM(Z170:Z181)-'Retirement Planning'!$I$54-'Retirement Planning'!$I$61)&gt;'Retirement Planning'!$J$58,(SUM(Z170:Z181)-'Retirement Planning'!$I$54-'Retirement Planning'!$I$61-'Retirement Planning'!$J$58)*'Retirement Planning'!$I$59+'Retirement Planning'!$K$58,IF((SUM(Z170:Z181)-'Retirement Planning'!$I$54-'Retirement Planning'!$I$61)&gt;'Retirement Planning'!$J$57,(SUM(Z170:Z181)-'Retirement Planning'!$I$54-'Retirement Planning'!$I$61-'Retirement Planning'!$J$57)*'Retirement Planning'!$I$58+'Retirement Planning'!$K$57,IF((SUM(Z170:Z181)-'Retirement Planning'!$I$54-'Retirement Planning'!$I$61)&gt;'Retirement Planning'!$J$56,(SUM(Z170:Z181)-'Retirement Planning'!$I$54-'Retirement Planning'!$I$61-'Retirement Planning'!$J$56)*'Retirement Planning'!$I$57+'Retirement Planning'!$K$56,(SUM(Z170:Z181)-'Retirement Planning'!$I$54-'Retirement Planning'!$I$61)*'Retirement Planning'!$I$56))))))/12,AA181)</f>
        <v>1874.4326059920743</v>
      </c>
      <c r="AB182" s="104">
        <f t="shared" ca="1" si="77"/>
        <v>0.21839587904551777</v>
      </c>
      <c r="AC182" s="7">
        <f>IF(B182&lt;65,'Retirement Planning'!$J$28,0)</f>
        <v>0</v>
      </c>
      <c r="AD182" s="7">
        <f>IF(B182&lt;65,'Retirement Planning'!$J$29/12,0)</f>
        <v>0</v>
      </c>
      <c r="AE182" s="22">
        <f>'Retirement Planning'!$J$31/12</f>
        <v>58.333333333333336</v>
      </c>
      <c r="AF182" s="22">
        <f>'Retirement Planning'!$J$32/12</f>
        <v>66.666666666666671</v>
      </c>
      <c r="AG182" s="7">
        <f>IF($B182&gt;64.9,'Retirement Planning'!$J$39/12,0)</f>
        <v>183.33333333333334</v>
      </c>
      <c r="AH182" s="7">
        <f>IF($B182&gt;64.9,'Retirement Planning'!$J$40/12,0)</f>
        <v>258.33333333333331</v>
      </c>
      <c r="AI182" s="7">
        <f>IF($B182&gt;64.9,'Retirement Planning'!$J$41/12,0)</f>
        <v>558.33333333333337</v>
      </c>
      <c r="AJ182" s="7">
        <f t="shared" ca="1" si="59"/>
        <v>316.66666666666663</v>
      </c>
      <c r="AK182" s="3" t="str">
        <f t="shared" ca="1" si="60"/>
        <v>N/A</v>
      </c>
      <c r="AL182" s="6" t="str">
        <f t="shared" ca="1" si="61"/>
        <v>N/A</v>
      </c>
      <c r="AM182" s="7">
        <f t="shared" ca="1" si="62"/>
        <v>1.1368683772161603E-12</v>
      </c>
      <c r="AN182" s="7">
        <f t="shared" ca="1" si="63"/>
        <v>11402.930894222005</v>
      </c>
      <c r="AO182" s="7">
        <f t="shared" si="64"/>
        <v>1125</v>
      </c>
    </row>
    <row r="183" spans="1:41" x14ac:dyDescent="0.2">
      <c r="A183">
        <f t="shared" si="65"/>
        <v>50</v>
      </c>
      <c r="B183" s="5">
        <f t="shared" si="66"/>
        <v>70.7</v>
      </c>
      <c r="C183" s="56">
        <f t="shared" si="67"/>
        <v>51683</v>
      </c>
      <c r="D183" s="57">
        <f ca="1">IF(AND(B182&lt;59.5,OR(B183&gt;59.5,B183=59.5)),(D182-E182+J182-K182)*(1+'Retirement Planning'!$J$23/12),(D182-E182)*(1+'Retirement Planning'!$J$23/12))</f>
        <v>383826.34586266649</v>
      </c>
      <c r="E183" s="58">
        <f t="shared" ca="1" si="54"/>
        <v>1087.0057097471763</v>
      </c>
      <c r="F183" s="57">
        <f ca="1">IF(AND(OR(B183&gt;59.5,B183=59.5),B182&lt;59.5),(F182-G182+L182-M182+N182-O182)*(1+'Retirement Planning'!$J$23/12),(F182-G182)*(1+'Retirement Planning'!$J$23/12))</f>
        <v>1321574.3354292889</v>
      </c>
      <c r="G183" s="58">
        <f ca="1">IF(AND($B$10&lt;55,B183&lt;59.5),'Retirement Planning'!$J$25,IF(OR(B183&gt;59.5,B183=59.5),MAX(0,MIN(F183,IF(D183&lt;2500,((Y183+AJ183+AA183))-X183,((Y183+AJ183+AA183)*'Retirement Planning'!$J$44)-X183))),0))</f>
        <v>7368.0240243198241</v>
      </c>
      <c r="H183" s="255">
        <f ca="1">IF(MONTH(C183)=1,IF(B183&gt;69.5,F183/(INDEX('Retirement Planning'!D$1:D$264,(160+INT(B183))))/12,0),IF(F183=0,0,H182))</f>
        <v>6133.9515822837384</v>
      </c>
      <c r="I183" s="262">
        <f t="shared" ca="1" si="55"/>
        <v>0</v>
      </c>
      <c r="J183" s="254">
        <f ca="1">IF(AND(B182&lt;59.5,OR(B183=59.5,B183&gt;59.5)),0,(J182-K182)*(1+'Retirement Planning'!$J$23/12))</f>
        <v>0</v>
      </c>
      <c r="K183" s="58">
        <f t="shared" ca="1" si="56"/>
        <v>0</v>
      </c>
      <c r="L183" s="57">
        <f>IF(AND(OR(B183&gt;59.5,B183=59.5),B182&lt;59.5),0,(L182-M182)*(1+'Retirement Planning'!$J$23/12))</f>
        <v>0</v>
      </c>
      <c r="M183" s="59">
        <f>IF(AND($B$10&lt;55,B183&lt;59.5),0,IF(B183&lt;59.5,MAX(0,MIN((($Y183+$AJ183+AA183)*'Retirement Planning'!$J$44)-$G183-$X183,L183)),0))</f>
        <v>0</v>
      </c>
      <c r="N183" s="57">
        <f ca="1">(N182-O182)*(1+'Retirement Planning'!$J$23/12)</f>
        <v>0</v>
      </c>
      <c r="O183" s="59">
        <f ca="1">IF(B183&gt;59.5,MAX(0,MIN((AA183+$Y183+$AJ183)*(IF(D183&lt;(MIN(E171:E182)+1),1,'Retirement Planning'!$J$44))-M183-$G183-$X183-(IF(D183&lt;(MIN(E171:E182)+1),D183,0)),N183)),0)</f>
        <v>0</v>
      </c>
      <c r="P183" s="57">
        <f t="shared" si="68"/>
        <v>0</v>
      </c>
      <c r="Q183" s="58">
        <f t="shared" si="69"/>
        <v>0</v>
      </c>
      <c r="R183" s="57">
        <f ca="1">(R182-S182-T182)*(1+'Retirement Planning'!$J$23/12)</f>
        <v>413515.11055876978</v>
      </c>
      <c r="S183" s="58">
        <f t="shared" ca="1" si="70"/>
        <v>808.33333333333337</v>
      </c>
      <c r="T183" s="273">
        <f t="shared" ca="1" si="57"/>
        <v>1.3642420526593924E-12</v>
      </c>
      <c r="U183" s="57">
        <f ca="1">(U182-V182)*(1+'Retirement Planning'!$J$23/12)</f>
        <v>318531.35441115458</v>
      </c>
      <c r="V183" s="24">
        <f ca="1">IF(AND($B$10&lt;55,B183&lt;59.5),MIN(U183,MAX(0,(Y183+AA183+AJ183-G183)*'Retirement Planning'!$J$45)),IF(B183&lt;59.5,(MIN(U183,MAX(0,((Y183+AA183+AJ183)-G183-M183)*'Retirement Planning'!$J$45))),MIN(U183,MAX(0,(Y183+AA183+AJ183-G183-M183-K183-X183)*'Retirement Planning'!$J$45))))</f>
        <v>925.96782682166963</v>
      </c>
      <c r="W183" s="7">
        <f t="shared" ca="1" si="58"/>
        <v>2437447.1462618797</v>
      </c>
      <c r="X183" s="7">
        <f>(IF(B183&gt;'Retirement Planning'!$J$34,IF('Retirement Planning'!$J$34=70,'Retirement Planning'!$J$37/12,IF('Retirement Planning'!$J$34=67,'Retirement Planning'!$J$36/12,'Retirement Planning'!$J$35/12)),0))*'Retirement Planning'!$J$38</f>
        <v>1213.6000000000001</v>
      </c>
      <c r="Y183" s="7">
        <f ca="1">'Retirement Planning'!$F$35*((1+'Retirement Planning'!$J$24)^(YEAR('Projected Retirement Drawdown'!C183)-YEAR(TODAY())))</f>
        <v>8403.49828822993</v>
      </c>
      <c r="Z183" s="7">
        <f ca="1">G183+M183+O183+0.85*X183+V183*'Retirement Planning'!$J$46+T183</f>
        <v>8908.8663290717432</v>
      </c>
      <c r="AA183" s="7">
        <f ca="1">IF(MONTH(C183)=1,(((MIN(MAX(0,((SUM(Z171:Z182)-'Retirement Planning'!$I$53-'Retirement Planning'!$I$54)-'Retirement Planning'!$J$51)*'Retirement Planning'!$I$52))))+(MIN(MAX(0,((SUM(Z171:Z182)-'Retirement Planning'!$I$53-'Retirement Planning'!$I$54)-'Retirement Planning'!$J$50)*'Retirement Planning'!$I$51),('Retirement Planning'!$J$51-'Retirement Planning'!$J$50)*'Retirement Planning'!$I$51))+(MIN(MAX(0,((SUM(Z171:Z182)-'Retirement Planning'!$I$53-'Retirement Planning'!$I$54)-'Retirement Planning'!$J$49)*'Retirement Planning'!$I$50),('Retirement Planning'!$J$50-'Retirement Planning'!$J$49)*'Retirement Planning'!$I$50)+MIN(MAX(0,((SUM(Z171:Z182)-'Retirement Planning'!$I$53-'Retirement Planning'!$I$54)-'Retirement Planning'!$J$48)*'Retirement Planning'!$I$49),('Retirement Planning'!$J$49-'Retirement Planning'!$J$48)*'Retirement Planning'!$I$49)+MIN(((SUM(Z171:Z182)-'Retirement Planning'!$I$53-'Retirement Planning'!$I$54))*'Retirement Planning'!$I$48,('Retirement Planning'!$J$48)*'Retirement Planning'!$I$48))+(IF((SUM(Z171:Z182)-'Retirement Planning'!$I$54-'Retirement Planning'!$I$61)&gt;'Retirement Planning'!$J$59,(SUM(Z171:Z182)-'Retirement Planning'!$I$54-'Retirement Planning'!$I$61-'Retirement Planning'!$J$59)*'Retirement Planning'!$I$60+'Retirement Planning'!$K$59,IF((SUM(Z171:Z182)-'Retirement Planning'!$I$54-'Retirement Planning'!$I$61)&gt;'Retirement Planning'!$J$58,(SUM(Z171:Z182)-'Retirement Planning'!$I$54-'Retirement Planning'!$I$61-'Retirement Planning'!$J$58)*'Retirement Planning'!$I$59+'Retirement Planning'!$K$58,IF((SUM(Z171:Z182)-'Retirement Planning'!$I$54-'Retirement Planning'!$I$61)&gt;'Retirement Planning'!$J$57,(SUM(Z171:Z182)-'Retirement Planning'!$I$54-'Retirement Planning'!$I$61-'Retirement Planning'!$J$57)*'Retirement Planning'!$I$58+'Retirement Planning'!$K$57,IF((SUM(Z171:Z182)-'Retirement Planning'!$I$54-'Retirement Planning'!$I$61)&gt;'Retirement Planning'!$J$56,(SUM(Z171:Z182)-'Retirement Planning'!$I$54-'Retirement Planning'!$I$61-'Retirement Planning'!$J$56)*'Retirement Planning'!$I$57+'Retirement Planning'!$K$56,(SUM(Z171:Z182)-'Retirement Planning'!$I$54-'Retirement Planning'!$I$61)*'Retirement Planning'!$I$56))))))/12,AA182)</f>
        <v>1874.4326059920743</v>
      </c>
      <c r="AB183" s="104">
        <f t="shared" ca="1" si="77"/>
        <v>0.21839587904551777</v>
      </c>
      <c r="AC183" s="7">
        <f>IF(B183&lt;65,'Retirement Planning'!$J$28,0)</f>
        <v>0</v>
      </c>
      <c r="AD183" s="7">
        <f>IF(B183&lt;65,'Retirement Planning'!$J$29/12,0)</f>
        <v>0</v>
      </c>
      <c r="AE183" s="22">
        <f>'Retirement Planning'!$J$31/12</f>
        <v>58.333333333333336</v>
      </c>
      <c r="AF183" s="22">
        <f>'Retirement Planning'!$J$32/12</f>
        <v>66.666666666666671</v>
      </c>
      <c r="AG183" s="7">
        <f>IF($B183&gt;64.9,'Retirement Planning'!$J$39/12,0)</f>
        <v>183.33333333333334</v>
      </c>
      <c r="AH183" s="7">
        <f>IF($B183&gt;64.9,'Retirement Planning'!$J$40/12,0)</f>
        <v>258.33333333333331</v>
      </c>
      <c r="AI183" s="7">
        <f>IF($B183&gt;64.9,'Retirement Planning'!$J$41/12,0)</f>
        <v>558.33333333333337</v>
      </c>
      <c r="AJ183" s="7">
        <f t="shared" ca="1" si="59"/>
        <v>316.66666666666663</v>
      </c>
      <c r="AK183" s="3" t="str">
        <f t="shared" ca="1" si="60"/>
        <v>N/A</v>
      </c>
      <c r="AL183" s="6" t="str">
        <f t="shared" ca="1" si="61"/>
        <v>N/A</v>
      </c>
      <c r="AM183" s="7">
        <f t="shared" ca="1" si="62"/>
        <v>1.1368683772161603E-12</v>
      </c>
      <c r="AN183" s="7">
        <f t="shared" ca="1" si="63"/>
        <v>11402.930894222005</v>
      </c>
      <c r="AO183" s="7">
        <f t="shared" si="64"/>
        <v>1125</v>
      </c>
    </row>
    <row r="184" spans="1:41" x14ac:dyDescent="0.2">
      <c r="A184">
        <f t="shared" si="65"/>
        <v>50</v>
      </c>
      <c r="B184" s="5">
        <f t="shared" si="66"/>
        <v>70.8</v>
      </c>
      <c r="C184" s="56">
        <f t="shared" si="67"/>
        <v>51714</v>
      </c>
      <c r="D184" s="57">
        <f ca="1">IF(AND(B183&lt;59.5,OR(B184&gt;59.5,B184=59.5)),(D183-E183+J183-K183)*(1+'Retirement Planning'!$J$23/12),(D183-E183)*(1+'Retirement Planning'!$J$23/12))</f>
        <v>385450.41047900246</v>
      </c>
      <c r="E184" s="58">
        <f t="shared" ca="1" si="54"/>
        <v>1087.0057097471763</v>
      </c>
      <c r="F184" s="57">
        <f ca="1">IF(AND(OR(B184&gt;59.5,B184=59.5),B183&lt;59.5),(F183-G183+L183-M183+N183-O183)*(1+'Retirement Planning'!$J$23/12),(F183-G183)*(1+'Retirement Planning'!$J$23/12))</f>
        <v>1323515.2727774209</v>
      </c>
      <c r="G184" s="58">
        <f ca="1">IF(AND($B$10&lt;55,B184&lt;59.5),'Retirement Planning'!$J$25,IF(OR(B184&gt;59.5,B184=59.5),MAX(0,MIN(F184,IF(D184&lt;2500,((Y184+AJ184+AA184))-X184,((Y184+AJ184+AA184)*'Retirement Planning'!$J$44)-X184))),0))</f>
        <v>7368.0240243198241</v>
      </c>
      <c r="H184" s="255">
        <f ca="1">IF(MONTH(C184)=1,IF(B184&gt;69.5,F184/(INDEX('Retirement Planning'!D$1:D$264,(160+INT(B184))))/12,0),IF(F184=0,0,H183))</f>
        <v>6133.9515822837384</v>
      </c>
      <c r="I184" s="262">
        <f t="shared" ca="1" si="55"/>
        <v>0</v>
      </c>
      <c r="J184" s="254">
        <f ca="1">IF(AND(B183&lt;59.5,OR(B184=59.5,B184&gt;59.5)),0,(J183-K183)*(1+'Retirement Planning'!$J$23/12))</f>
        <v>0</v>
      </c>
      <c r="K184" s="58">
        <f t="shared" ca="1" si="56"/>
        <v>0</v>
      </c>
      <c r="L184" s="57">
        <f>IF(AND(OR(B184&gt;59.5,B184=59.5),B183&lt;59.5),0,(L183-M183)*(1+'Retirement Planning'!$J$23/12))</f>
        <v>0</v>
      </c>
      <c r="M184" s="59">
        <f>IF(AND($B$10&lt;55,B184&lt;59.5),0,IF(B184&lt;59.5,MAX(0,MIN((($Y184+$AJ184+AA184)*'Retirement Planning'!$J$44)-$G184-$X184,L184)),0))</f>
        <v>0</v>
      </c>
      <c r="N184" s="57">
        <f ca="1">(N183-O183)*(1+'Retirement Planning'!$J$23/12)</f>
        <v>0</v>
      </c>
      <c r="O184" s="59">
        <f ca="1">IF(B184&gt;59.5,MAX(0,MIN((AA184+$Y184+$AJ184)*(IF(D184&lt;(MIN(E172:E183)+1),1,'Retirement Planning'!$J$44))-M184-$G184-$X184-(IF(D184&lt;(MIN(E172:E183)+1),D184,0)),N184)),0)</f>
        <v>0</v>
      </c>
      <c r="P184" s="57">
        <f t="shared" si="68"/>
        <v>0</v>
      </c>
      <c r="Q184" s="58">
        <f t="shared" si="69"/>
        <v>0</v>
      </c>
      <c r="R184" s="57">
        <f ca="1">(R183-S183-T183)*(1+'Retirement Planning'!$J$23/12)</f>
        <v>415630.11689745</v>
      </c>
      <c r="S184" s="58">
        <f t="shared" ca="1" si="70"/>
        <v>808.33333333333337</v>
      </c>
      <c r="T184" s="273">
        <f t="shared" ca="1" si="57"/>
        <v>1.3642420526593924E-12</v>
      </c>
      <c r="U184" s="57">
        <f ca="1">(U183-V183)*(1+'Retirement Planning'!$J$23/12)</f>
        <v>319855.09140597191</v>
      </c>
      <c r="V184" s="24">
        <f ca="1">IF(AND($B$10&lt;55,B184&lt;59.5),MIN(U184,MAX(0,(Y184+AA184+AJ184-G184)*'Retirement Planning'!$J$45)),IF(B184&lt;59.5,(MIN(U184,MAX(0,((Y184+AA184+AJ184)-G184-M184)*'Retirement Planning'!$J$45))),MIN(U184,MAX(0,(Y184+AA184+AJ184-G184-M184-K184-X184)*'Retirement Planning'!$J$45))))</f>
        <v>925.96782682166963</v>
      </c>
      <c r="W184" s="7">
        <f t="shared" ca="1" si="58"/>
        <v>2444450.8915598453</v>
      </c>
      <c r="X184" s="7">
        <f>(IF(B184&gt;'Retirement Planning'!$J$34,IF('Retirement Planning'!$J$34=70,'Retirement Planning'!$J$37/12,IF('Retirement Planning'!$J$34=67,'Retirement Planning'!$J$36/12,'Retirement Planning'!$J$35/12)),0))*'Retirement Planning'!$J$38</f>
        <v>1213.6000000000001</v>
      </c>
      <c r="Y184" s="7">
        <f ca="1">'Retirement Planning'!$F$35*((1+'Retirement Planning'!$J$24)^(YEAR('Projected Retirement Drawdown'!C184)-YEAR(TODAY())))</f>
        <v>8403.49828822993</v>
      </c>
      <c r="Z184" s="7">
        <f ca="1">G184+M184+O184+0.85*X184+V184*'Retirement Planning'!$J$46+T184</f>
        <v>8908.8663290717432</v>
      </c>
      <c r="AA184" s="7">
        <f ca="1">IF(MONTH(C184)=1,(((MIN(MAX(0,((SUM(Z172:Z183)-'Retirement Planning'!$I$53-'Retirement Planning'!$I$54)-'Retirement Planning'!$J$51)*'Retirement Planning'!$I$52))))+(MIN(MAX(0,((SUM(Z172:Z183)-'Retirement Planning'!$I$53-'Retirement Planning'!$I$54)-'Retirement Planning'!$J$50)*'Retirement Planning'!$I$51),('Retirement Planning'!$J$51-'Retirement Planning'!$J$50)*'Retirement Planning'!$I$51))+(MIN(MAX(0,((SUM(Z172:Z183)-'Retirement Planning'!$I$53-'Retirement Planning'!$I$54)-'Retirement Planning'!$J$49)*'Retirement Planning'!$I$50),('Retirement Planning'!$J$50-'Retirement Planning'!$J$49)*'Retirement Planning'!$I$50)+MIN(MAX(0,((SUM(Z172:Z183)-'Retirement Planning'!$I$53-'Retirement Planning'!$I$54)-'Retirement Planning'!$J$48)*'Retirement Planning'!$I$49),('Retirement Planning'!$J$49-'Retirement Planning'!$J$48)*'Retirement Planning'!$I$49)+MIN(((SUM(Z172:Z183)-'Retirement Planning'!$I$53-'Retirement Planning'!$I$54))*'Retirement Planning'!$I$48,('Retirement Planning'!$J$48)*'Retirement Planning'!$I$48))+(IF((SUM(Z172:Z183)-'Retirement Planning'!$I$54-'Retirement Planning'!$I$61)&gt;'Retirement Planning'!$J$59,(SUM(Z172:Z183)-'Retirement Planning'!$I$54-'Retirement Planning'!$I$61-'Retirement Planning'!$J$59)*'Retirement Planning'!$I$60+'Retirement Planning'!$K$59,IF((SUM(Z172:Z183)-'Retirement Planning'!$I$54-'Retirement Planning'!$I$61)&gt;'Retirement Planning'!$J$58,(SUM(Z172:Z183)-'Retirement Planning'!$I$54-'Retirement Planning'!$I$61-'Retirement Planning'!$J$58)*'Retirement Planning'!$I$59+'Retirement Planning'!$K$58,IF((SUM(Z172:Z183)-'Retirement Planning'!$I$54-'Retirement Planning'!$I$61)&gt;'Retirement Planning'!$J$57,(SUM(Z172:Z183)-'Retirement Planning'!$I$54-'Retirement Planning'!$I$61-'Retirement Planning'!$J$57)*'Retirement Planning'!$I$58+'Retirement Planning'!$K$57,IF((SUM(Z172:Z183)-'Retirement Planning'!$I$54-'Retirement Planning'!$I$61)&gt;'Retirement Planning'!$J$56,(SUM(Z172:Z183)-'Retirement Planning'!$I$54-'Retirement Planning'!$I$61-'Retirement Planning'!$J$56)*'Retirement Planning'!$I$57+'Retirement Planning'!$K$56,(SUM(Z172:Z183)-'Retirement Planning'!$I$54-'Retirement Planning'!$I$61)*'Retirement Planning'!$I$56))))))/12,AA183)</f>
        <v>1874.4326059920743</v>
      </c>
      <c r="AB184" s="104">
        <f t="shared" ca="1" si="77"/>
        <v>0.21839587904551777</v>
      </c>
      <c r="AC184" s="7">
        <f>IF(B184&lt;65,'Retirement Planning'!$J$28,0)</f>
        <v>0</v>
      </c>
      <c r="AD184" s="7">
        <f>IF(B184&lt;65,'Retirement Planning'!$J$29/12,0)</f>
        <v>0</v>
      </c>
      <c r="AE184" s="22">
        <f>'Retirement Planning'!$J$31/12</f>
        <v>58.333333333333336</v>
      </c>
      <c r="AF184" s="22">
        <f>'Retirement Planning'!$J$32/12</f>
        <v>66.666666666666671</v>
      </c>
      <c r="AG184" s="7">
        <f>IF($B184&gt;64.9,'Retirement Planning'!$J$39/12,0)</f>
        <v>183.33333333333334</v>
      </c>
      <c r="AH184" s="7">
        <f>IF($B184&gt;64.9,'Retirement Planning'!$J$40/12,0)</f>
        <v>258.33333333333331</v>
      </c>
      <c r="AI184" s="7">
        <f>IF($B184&gt;64.9,'Retirement Planning'!$J$41/12,0)</f>
        <v>558.33333333333337</v>
      </c>
      <c r="AJ184" s="7">
        <f t="shared" ca="1" si="59"/>
        <v>316.66666666666663</v>
      </c>
      <c r="AK184" s="3" t="str">
        <f t="shared" ca="1" si="60"/>
        <v>N/A</v>
      </c>
      <c r="AL184" s="6" t="str">
        <f t="shared" ca="1" si="61"/>
        <v>N/A</v>
      </c>
      <c r="AM184" s="7">
        <f t="shared" ca="1" si="62"/>
        <v>1.1368683772161603E-12</v>
      </c>
      <c r="AN184" s="7">
        <f t="shared" ca="1" si="63"/>
        <v>11402.930894222005</v>
      </c>
      <c r="AO184" s="7">
        <f t="shared" si="64"/>
        <v>1125</v>
      </c>
    </row>
    <row r="185" spans="1:41" x14ac:dyDescent="0.2">
      <c r="A185">
        <f t="shared" si="65"/>
        <v>50</v>
      </c>
      <c r="B185" s="5">
        <f t="shared" si="66"/>
        <v>70.900000000000006</v>
      </c>
      <c r="C185" s="56">
        <f t="shared" si="67"/>
        <v>51745</v>
      </c>
      <c r="D185" s="57">
        <f ca="1">IF(AND(B184&lt;59.5,OR(B185&gt;59.5,B185=59.5)),(D184-E184+J184-K184)*(1+'Retirement Planning'!$J$23/12),(D184-E184)*(1+'Retirement Planning'!$J$23/12))</f>
        <v>387085.97888637084</v>
      </c>
      <c r="E185" s="58">
        <f t="shared" ca="1" si="54"/>
        <v>1087.0057097471763</v>
      </c>
      <c r="F185" s="57">
        <f ca="1">IF(AND(OR(B185&gt;59.5,B185=59.5),B184&lt;59.5),(F184-G184+L184-M184+N184-O184)*(1+'Retirement Planning'!$J$23/12),(F184-G184)*(1+'Retirement Planning'!$J$23/12))</f>
        <v>1325469.9584317689</v>
      </c>
      <c r="G185" s="58">
        <f ca="1">IF(AND($B$10&lt;55,B185&lt;59.5),'Retirement Planning'!$J$25,IF(OR(B185&gt;59.5,B185=59.5),MAX(0,MIN(F185,IF(D185&lt;2500,((Y185+AJ185+AA185))-X185,((Y185+AJ185+AA185)*'Retirement Planning'!$J$44)-X185))),0))</f>
        <v>7368.0240243198241</v>
      </c>
      <c r="H185" s="255">
        <f ca="1">IF(MONTH(C185)=1,IF(B185&gt;69.5,F185/(INDEX('Retirement Planning'!D$1:D$264,(160+INT(B185))))/12,0),IF(F185=0,0,H184))</f>
        <v>6133.9515822837384</v>
      </c>
      <c r="I185" s="262">
        <f t="shared" ca="1" si="55"/>
        <v>0</v>
      </c>
      <c r="J185" s="254">
        <f ca="1">IF(AND(B184&lt;59.5,OR(B185=59.5,B185&gt;59.5)),0,(J184-K184)*(1+'Retirement Planning'!$J$23/12))</f>
        <v>0</v>
      </c>
      <c r="K185" s="58">
        <f t="shared" ca="1" si="56"/>
        <v>0</v>
      </c>
      <c r="L185" s="57">
        <f>IF(AND(OR(B185&gt;59.5,B185=59.5),B184&lt;59.5),0,(L184-M184)*(1+'Retirement Planning'!$J$23/12))</f>
        <v>0</v>
      </c>
      <c r="M185" s="59">
        <f>IF(AND($B$10&lt;55,B185&lt;59.5),0,IF(B185&lt;59.5,MAX(0,MIN((($Y185+$AJ185+AA185)*'Retirement Planning'!$J$44)-$G185-$X185,L185)),0))</f>
        <v>0</v>
      </c>
      <c r="N185" s="57">
        <f ca="1">(N184-O184)*(1+'Retirement Planning'!$J$23/12)</f>
        <v>0</v>
      </c>
      <c r="O185" s="59">
        <f ca="1">IF(B185&gt;59.5,MAX(0,MIN((AA185+$Y185+$AJ185)*(IF(D185&lt;(MIN(E173:E184)+1),1,'Retirement Planning'!$J$44))-M185-$G185-$X185-(IF(D185&lt;(MIN(E173:E184)+1),D185,0)),N185)),0)</f>
        <v>0</v>
      </c>
      <c r="P185" s="57">
        <f t="shared" si="68"/>
        <v>0</v>
      </c>
      <c r="Q185" s="58">
        <f t="shared" si="69"/>
        <v>0</v>
      </c>
      <c r="R185" s="57">
        <f ca="1">(R184-S184-T184)*(1+'Retirement Planning'!$J$23/12)</f>
        <v>417760.10453102918</v>
      </c>
      <c r="S185" s="58">
        <f t="shared" ca="1" si="70"/>
        <v>808.33333333333337</v>
      </c>
      <c r="T185" s="273">
        <f t="shared" ca="1" si="57"/>
        <v>1.3642420526593924E-12</v>
      </c>
      <c r="U185" s="57">
        <f ca="1">(U184-V184)*(1+'Retirement Planning'!$J$23/12)</f>
        <v>321188.20487116923</v>
      </c>
      <c r="V185" s="24">
        <f ca="1">IF(AND($B$10&lt;55,B185&lt;59.5),MIN(U185,MAX(0,(Y185+AA185+AJ185-G185)*'Retirement Planning'!$J$45)),IF(B185&lt;59.5,(MIN(U185,MAX(0,((Y185+AA185+AJ185)-G185-M185)*'Retirement Planning'!$J$45))),MIN(U185,MAX(0,(Y185+AA185+AJ185-G185-M185-K185-X185)*'Retirement Planning'!$J$45))))</f>
        <v>925.96782682166963</v>
      </c>
      <c r="W185" s="7">
        <f t="shared" ca="1" si="58"/>
        <v>2451504.2467203382</v>
      </c>
      <c r="X185" s="7">
        <f>(IF(B185&gt;'Retirement Planning'!$J$34,IF('Retirement Planning'!$J$34=70,'Retirement Planning'!$J$37/12,IF('Retirement Planning'!$J$34=67,'Retirement Planning'!$J$36/12,'Retirement Planning'!$J$35/12)),0))*'Retirement Planning'!$J$38</f>
        <v>1213.6000000000001</v>
      </c>
      <c r="Y185" s="7">
        <f ca="1">'Retirement Planning'!$F$35*((1+'Retirement Planning'!$J$24)^(YEAR('Projected Retirement Drawdown'!C185)-YEAR(TODAY())))</f>
        <v>8403.49828822993</v>
      </c>
      <c r="Z185" s="7">
        <f ca="1">G185+M185+O185+0.85*X185+V185*'Retirement Planning'!$J$46+T185</f>
        <v>8908.8663290717432</v>
      </c>
      <c r="AA185" s="7">
        <f ca="1">IF(MONTH(C185)=1,(((MIN(MAX(0,((SUM(Z173:Z184)-'Retirement Planning'!$I$53-'Retirement Planning'!$I$54)-'Retirement Planning'!$J$51)*'Retirement Planning'!$I$52))))+(MIN(MAX(0,((SUM(Z173:Z184)-'Retirement Planning'!$I$53-'Retirement Planning'!$I$54)-'Retirement Planning'!$J$50)*'Retirement Planning'!$I$51),('Retirement Planning'!$J$51-'Retirement Planning'!$J$50)*'Retirement Planning'!$I$51))+(MIN(MAX(0,((SUM(Z173:Z184)-'Retirement Planning'!$I$53-'Retirement Planning'!$I$54)-'Retirement Planning'!$J$49)*'Retirement Planning'!$I$50),('Retirement Planning'!$J$50-'Retirement Planning'!$J$49)*'Retirement Planning'!$I$50)+MIN(MAX(0,((SUM(Z173:Z184)-'Retirement Planning'!$I$53-'Retirement Planning'!$I$54)-'Retirement Planning'!$J$48)*'Retirement Planning'!$I$49),('Retirement Planning'!$J$49-'Retirement Planning'!$J$48)*'Retirement Planning'!$I$49)+MIN(((SUM(Z173:Z184)-'Retirement Planning'!$I$53-'Retirement Planning'!$I$54))*'Retirement Planning'!$I$48,('Retirement Planning'!$J$48)*'Retirement Planning'!$I$48))+(IF((SUM(Z173:Z184)-'Retirement Planning'!$I$54-'Retirement Planning'!$I$61)&gt;'Retirement Planning'!$J$59,(SUM(Z173:Z184)-'Retirement Planning'!$I$54-'Retirement Planning'!$I$61-'Retirement Planning'!$J$59)*'Retirement Planning'!$I$60+'Retirement Planning'!$K$59,IF((SUM(Z173:Z184)-'Retirement Planning'!$I$54-'Retirement Planning'!$I$61)&gt;'Retirement Planning'!$J$58,(SUM(Z173:Z184)-'Retirement Planning'!$I$54-'Retirement Planning'!$I$61-'Retirement Planning'!$J$58)*'Retirement Planning'!$I$59+'Retirement Planning'!$K$58,IF((SUM(Z173:Z184)-'Retirement Planning'!$I$54-'Retirement Planning'!$I$61)&gt;'Retirement Planning'!$J$57,(SUM(Z173:Z184)-'Retirement Planning'!$I$54-'Retirement Planning'!$I$61-'Retirement Planning'!$J$57)*'Retirement Planning'!$I$58+'Retirement Planning'!$K$57,IF((SUM(Z173:Z184)-'Retirement Planning'!$I$54-'Retirement Planning'!$I$61)&gt;'Retirement Planning'!$J$56,(SUM(Z173:Z184)-'Retirement Planning'!$I$54-'Retirement Planning'!$I$61-'Retirement Planning'!$J$56)*'Retirement Planning'!$I$57+'Retirement Planning'!$K$56,(SUM(Z173:Z184)-'Retirement Planning'!$I$54-'Retirement Planning'!$I$61)*'Retirement Planning'!$I$56))))))/12,AA184)</f>
        <v>1874.4326059920743</v>
      </c>
      <c r="AB185" s="104">
        <f t="shared" ca="1" si="77"/>
        <v>0.21839587904551777</v>
      </c>
      <c r="AC185" s="7">
        <f>IF(B185&lt;65,'Retirement Planning'!$J$28,0)</f>
        <v>0</v>
      </c>
      <c r="AD185" s="7">
        <f>IF(B185&lt;65,'Retirement Planning'!$J$29/12,0)</f>
        <v>0</v>
      </c>
      <c r="AE185" s="22">
        <f>'Retirement Planning'!$J$31/12</f>
        <v>58.333333333333336</v>
      </c>
      <c r="AF185" s="22">
        <f>'Retirement Planning'!$J$32/12</f>
        <v>66.666666666666671</v>
      </c>
      <c r="AG185" s="7">
        <f>IF($B185&gt;64.9,'Retirement Planning'!$J$39/12,0)</f>
        <v>183.33333333333334</v>
      </c>
      <c r="AH185" s="7">
        <f>IF($B185&gt;64.9,'Retirement Planning'!$J$40/12,0)</f>
        <v>258.33333333333331</v>
      </c>
      <c r="AI185" s="7">
        <f>IF($B185&gt;64.9,'Retirement Planning'!$J$41/12,0)</f>
        <v>558.33333333333337</v>
      </c>
      <c r="AJ185" s="7">
        <f t="shared" ca="1" si="59"/>
        <v>316.66666666666663</v>
      </c>
      <c r="AK185" s="3" t="str">
        <f t="shared" ca="1" si="60"/>
        <v>N/A</v>
      </c>
      <c r="AL185" s="6" t="str">
        <f t="shared" ca="1" si="61"/>
        <v>N/A</v>
      </c>
      <c r="AM185" s="7">
        <f t="shared" ca="1" si="62"/>
        <v>1.1368683772161603E-12</v>
      </c>
      <c r="AN185" s="7">
        <f t="shared" ca="1" si="63"/>
        <v>11402.930894222005</v>
      </c>
      <c r="AO185" s="7">
        <f t="shared" si="64"/>
        <v>1125</v>
      </c>
    </row>
    <row r="186" spans="1:41" x14ac:dyDescent="0.2">
      <c r="A186">
        <f t="shared" si="65"/>
        <v>50</v>
      </c>
      <c r="B186" s="5">
        <f t="shared" si="66"/>
        <v>71</v>
      </c>
      <c r="C186" s="56">
        <f t="shared" si="67"/>
        <v>51775</v>
      </c>
      <c r="D186" s="57">
        <f ca="1">IF(AND(B185&lt;59.5,OR(B186&gt;59.5,B186=59.5)),(D185-E185+J185-K185)*(1+'Retirement Planning'!$J$23/12),(D185-E185)*(1+'Retirement Planning'!$J$23/12))</f>
        <v>388733.13256995805</v>
      </c>
      <c r="E186" s="58">
        <f t="shared" ca="1" si="54"/>
        <v>1087.0057097471763</v>
      </c>
      <c r="F186" s="57">
        <f ca="1">IF(AND(OR(B186&gt;59.5,B186=59.5),B185&lt;59.5),(F185-G185+L185-M185+N185-O185)*(1+'Retirement Planning'!$J$23/12),(F185-G185)*(1+'Retirement Planning'!$J$23/12))</f>
        <v>1327438.4897761685</v>
      </c>
      <c r="G186" s="58">
        <f ca="1">IF(AND($B$10&lt;55,B186&lt;59.5),'Retirement Planning'!$J$25,IF(OR(B186&gt;59.5,B186=59.5),MAX(0,MIN(F186,IF(D186&lt;2500,((Y186+AJ186+AA186))-X186,((Y186+AJ186+AA186)*'Retirement Planning'!$J$44)-X186))),0))</f>
        <v>7368.0240243198241</v>
      </c>
      <c r="H186" s="255">
        <f ca="1">IF(MONTH(C186)=1,IF(B186&gt;69.5,F186/(INDEX('Retirement Planning'!D$1:D$264,(160+INT(B186))))/12,0),IF(F186=0,0,H185))</f>
        <v>6133.9515822837384</v>
      </c>
      <c r="I186" s="262">
        <f t="shared" ca="1" si="55"/>
        <v>0</v>
      </c>
      <c r="J186" s="254">
        <f ca="1">IF(AND(B185&lt;59.5,OR(B186=59.5,B186&gt;59.5)),0,(J185-K185)*(1+'Retirement Planning'!$J$23/12))</f>
        <v>0</v>
      </c>
      <c r="K186" s="58">
        <f t="shared" ca="1" si="56"/>
        <v>0</v>
      </c>
      <c r="L186" s="57">
        <f>IF(AND(OR(B186&gt;59.5,B186=59.5),B185&lt;59.5),0,(L185-M185)*(1+'Retirement Planning'!$J$23/12))</f>
        <v>0</v>
      </c>
      <c r="M186" s="59">
        <f>IF(AND($B$10&lt;55,B186&lt;59.5),0,IF(B186&lt;59.5,MAX(0,MIN((($Y186+$AJ186+AA186)*'Retirement Planning'!$J$44)-$G186-$X186,L186)),0))</f>
        <v>0</v>
      </c>
      <c r="N186" s="57">
        <f ca="1">(N185-O185)*(1+'Retirement Planning'!$J$23/12)</f>
        <v>0</v>
      </c>
      <c r="O186" s="59">
        <f ca="1">IF(B186&gt;59.5,MAX(0,MIN((AA186+$Y186+$AJ186)*(IF(D186&lt;(MIN(E174:E185)+1),1,'Retirement Planning'!$J$44))-M186-$G186-$X186-(IF(D186&lt;(MIN(E174:E185)+1),D186,0)),N186)),0)</f>
        <v>0</v>
      </c>
      <c r="P186" s="57">
        <f t="shared" si="68"/>
        <v>0</v>
      </c>
      <c r="Q186" s="58">
        <f t="shared" si="69"/>
        <v>0</v>
      </c>
      <c r="R186" s="57">
        <f ca="1">(R185-S185-T185)*(1+'Retirement Planning'!$J$23/12)</f>
        <v>419905.1795770129</v>
      </c>
      <c r="S186" s="58">
        <f t="shared" ca="1" si="70"/>
        <v>808.33333333333337</v>
      </c>
      <c r="T186" s="273">
        <f t="shared" ca="1" si="57"/>
        <v>1.3642420526593924E-12</v>
      </c>
      <c r="U186" s="57">
        <f ca="1">(U185-V185)*(1+'Retirement Planning'!$J$23/12)</f>
        <v>322530.76122341171</v>
      </c>
      <c r="V186" s="24">
        <f ca="1">IF(AND($B$10&lt;55,B186&lt;59.5),MIN(U186,MAX(0,(Y186+AA186+AJ186-G186)*'Retirement Planning'!$J$45)),IF(B186&lt;59.5,(MIN(U186,MAX(0,((Y186+AA186+AJ186)-G186-M186)*'Retirement Planning'!$J$45))),MIN(U186,MAX(0,(Y186+AA186+AJ186-G186-M186-K186-X186)*'Retirement Planning'!$J$45))))</f>
        <v>925.96782682166963</v>
      </c>
      <c r="W186" s="7">
        <f t="shared" ca="1" si="58"/>
        <v>2458607.5631465511</v>
      </c>
      <c r="X186" s="7">
        <f>(IF(B186&gt;'Retirement Planning'!$J$34,IF('Retirement Planning'!$J$34=70,'Retirement Planning'!$J$37/12,IF('Retirement Planning'!$J$34=67,'Retirement Planning'!$J$36/12,'Retirement Planning'!$J$35/12)),0))*'Retirement Planning'!$J$38</f>
        <v>1213.6000000000001</v>
      </c>
      <c r="Y186" s="7">
        <f ca="1">'Retirement Planning'!$F$35*((1+'Retirement Planning'!$J$24)^(YEAR('Projected Retirement Drawdown'!C186)-YEAR(TODAY())))</f>
        <v>8403.49828822993</v>
      </c>
      <c r="Z186" s="7">
        <f ca="1">G186+M186+O186+0.85*X186+V186*'Retirement Planning'!$J$46+T186</f>
        <v>8908.8663290717432</v>
      </c>
      <c r="AA186" s="7">
        <f ca="1">IF(MONTH(C186)=1,(((MIN(MAX(0,((SUM(Z174:Z185)-'Retirement Planning'!$I$53-'Retirement Planning'!$I$54)-'Retirement Planning'!$J$51)*'Retirement Planning'!$I$52))))+(MIN(MAX(0,((SUM(Z174:Z185)-'Retirement Planning'!$I$53-'Retirement Planning'!$I$54)-'Retirement Planning'!$J$50)*'Retirement Planning'!$I$51),('Retirement Planning'!$J$51-'Retirement Planning'!$J$50)*'Retirement Planning'!$I$51))+(MIN(MAX(0,((SUM(Z174:Z185)-'Retirement Planning'!$I$53-'Retirement Planning'!$I$54)-'Retirement Planning'!$J$49)*'Retirement Planning'!$I$50),('Retirement Planning'!$J$50-'Retirement Planning'!$J$49)*'Retirement Planning'!$I$50)+MIN(MAX(0,((SUM(Z174:Z185)-'Retirement Planning'!$I$53-'Retirement Planning'!$I$54)-'Retirement Planning'!$J$48)*'Retirement Planning'!$I$49),('Retirement Planning'!$J$49-'Retirement Planning'!$J$48)*'Retirement Planning'!$I$49)+MIN(((SUM(Z174:Z185)-'Retirement Planning'!$I$53-'Retirement Planning'!$I$54))*'Retirement Planning'!$I$48,('Retirement Planning'!$J$48)*'Retirement Planning'!$I$48))+(IF((SUM(Z174:Z185)-'Retirement Planning'!$I$54-'Retirement Planning'!$I$61)&gt;'Retirement Planning'!$J$59,(SUM(Z174:Z185)-'Retirement Planning'!$I$54-'Retirement Planning'!$I$61-'Retirement Planning'!$J$59)*'Retirement Planning'!$I$60+'Retirement Planning'!$K$59,IF((SUM(Z174:Z185)-'Retirement Planning'!$I$54-'Retirement Planning'!$I$61)&gt;'Retirement Planning'!$J$58,(SUM(Z174:Z185)-'Retirement Planning'!$I$54-'Retirement Planning'!$I$61-'Retirement Planning'!$J$58)*'Retirement Planning'!$I$59+'Retirement Planning'!$K$58,IF((SUM(Z174:Z185)-'Retirement Planning'!$I$54-'Retirement Planning'!$I$61)&gt;'Retirement Planning'!$J$57,(SUM(Z174:Z185)-'Retirement Planning'!$I$54-'Retirement Planning'!$I$61-'Retirement Planning'!$J$57)*'Retirement Planning'!$I$58+'Retirement Planning'!$K$57,IF((SUM(Z174:Z185)-'Retirement Planning'!$I$54-'Retirement Planning'!$I$61)&gt;'Retirement Planning'!$J$56,(SUM(Z174:Z185)-'Retirement Planning'!$I$54-'Retirement Planning'!$I$61-'Retirement Planning'!$J$56)*'Retirement Planning'!$I$57+'Retirement Planning'!$K$56,(SUM(Z174:Z185)-'Retirement Planning'!$I$54-'Retirement Planning'!$I$61)*'Retirement Planning'!$I$56))))))/12,AA185)</f>
        <v>1874.4326059920743</v>
      </c>
      <c r="AB186" s="104">
        <f t="shared" ca="1" si="77"/>
        <v>0.21839587904551777</v>
      </c>
      <c r="AC186" s="7">
        <f>IF(B186&lt;65,'Retirement Planning'!$J$28,0)</f>
        <v>0</v>
      </c>
      <c r="AD186" s="7">
        <f>IF(B186&lt;65,'Retirement Planning'!$J$29/12,0)</f>
        <v>0</v>
      </c>
      <c r="AE186" s="22">
        <f>'Retirement Planning'!$J$31/12</f>
        <v>58.333333333333336</v>
      </c>
      <c r="AF186" s="22">
        <f>'Retirement Planning'!$J$32/12</f>
        <v>66.666666666666671</v>
      </c>
      <c r="AG186" s="7">
        <f>IF($B186&gt;64.9,'Retirement Planning'!$J$39/12,0)</f>
        <v>183.33333333333334</v>
      </c>
      <c r="AH186" s="7">
        <f>IF($B186&gt;64.9,'Retirement Planning'!$J$40/12,0)</f>
        <v>258.33333333333331</v>
      </c>
      <c r="AI186" s="7">
        <f>IF($B186&gt;64.9,'Retirement Planning'!$J$41/12,0)</f>
        <v>558.33333333333337</v>
      </c>
      <c r="AJ186" s="7">
        <f t="shared" ca="1" si="59"/>
        <v>316.66666666666663</v>
      </c>
      <c r="AK186" s="3" t="str">
        <f t="shared" ca="1" si="60"/>
        <v>N/A</v>
      </c>
      <c r="AL186" s="6" t="str">
        <f t="shared" ca="1" si="61"/>
        <v>N/A</v>
      </c>
      <c r="AM186" s="7">
        <f t="shared" ca="1" si="62"/>
        <v>1.1368683772161603E-12</v>
      </c>
      <c r="AN186" s="7">
        <f t="shared" ca="1" si="63"/>
        <v>11402.930894222005</v>
      </c>
      <c r="AO186" s="7">
        <f t="shared" si="64"/>
        <v>1125</v>
      </c>
    </row>
    <row r="187" spans="1:41" x14ac:dyDescent="0.2">
      <c r="A187">
        <f t="shared" si="65"/>
        <v>50</v>
      </c>
      <c r="B187" s="5">
        <f t="shared" si="66"/>
        <v>71</v>
      </c>
      <c r="C187" s="56">
        <f t="shared" si="67"/>
        <v>51806</v>
      </c>
      <c r="D187" s="57">
        <f ca="1">IF(AND(B186&lt;59.5,OR(B187&gt;59.5,B187=59.5)),(D186-E186+J186-K186)*(1+'Retirement Planning'!$J$23/12),(D186-E186)*(1+'Retirement Planning'!$J$23/12))</f>
        <v>390391.95359213732</v>
      </c>
      <c r="E187" s="58">
        <f t="shared" ca="1" si="54"/>
        <v>1087.0057097471763</v>
      </c>
      <c r="F187" s="57">
        <f ca="1">IF(AND(OR(B187&gt;59.5,B187=59.5),B186&lt;59.5),(F186-G186+L186-M186+N186-O186)*(1+'Retirement Planning'!$J$23/12),(F186-G186)*(1+'Retirement Planning'!$J$23/12))</f>
        <v>1329420.9648842576</v>
      </c>
      <c r="G187" s="58">
        <f ca="1">IF(AND($B$10&lt;55,B187&lt;59.5),'Retirement Planning'!$J$25,IF(OR(B187&gt;59.5,B187=59.5),MAX(0,MIN(F187,IF(D187&lt;2500,((Y187+AJ187+AA187))-X187,((Y187+AJ187+AA187)*'Retirement Planning'!$J$44)-X187))),0))</f>
        <v>7368.0240243198241</v>
      </c>
      <c r="H187" s="255">
        <f ca="1">IF(MONTH(C187)=1,IF(B187&gt;69.5,F187/(INDEX('Retirement Planning'!D$1:D$264,(160+INT(B187))))/12,0),IF(F187=0,0,H186))</f>
        <v>6133.9515822837384</v>
      </c>
      <c r="I187" s="262">
        <f t="shared" ca="1" si="55"/>
        <v>0</v>
      </c>
      <c r="J187" s="254">
        <f ca="1">IF(AND(B186&lt;59.5,OR(B187=59.5,B187&gt;59.5)),0,(J186-K186)*(1+'Retirement Planning'!$J$23/12))</f>
        <v>0</v>
      </c>
      <c r="K187" s="58">
        <f t="shared" ca="1" si="56"/>
        <v>0</v>
      </c>
      <c r="L187" s="57">
        <f>IF(AND(OR(B187&gt;59.5,B187=59.5),B186&lt;59.5),0,(L186-M186)*(1+'Retirement Planning'!$J$23/12))</f>
        <v>0</v>
      </c>
      <c r="M187" s="59">
        <f>IF(AND($B$10&lt;55,B187&lt;59.5),0,IF(B187&lt;59.5,MAX(0,MIN((($Y187+$AJ187+AA187)*'Retirement Planning'!$J$44)-$G187-$X187,L187)),0))</f>
        <v>0</v>
      </c>
      <c r="N187" s="57">
        <f ca="1">(N186-O186)*(1+'Retirement Planning'!$J$23/12)</f>
        <v>0</v>
      </c>
      <c r="O187" s="59">
        <f ca="1">IF(B187&gt;59.5,MAX(0,MIN((AA187+$Y187+$AJ187)*(IF(D187&lt;(MIN(E175:E186)+1),1,'Retirement Planning'!$J$44))-M187-$G187-$X187-(IF(D187&lt;(MIN(E175:E186)+1),D187,0)),N187)),0)</f>
        <v>0</v>
      </c>
      <c r="P187" s="57">
        <f t="shared" si="68"/>
        <v>0</v>
      </c>
      <c r="Q187" s="58">
        <f t="shared" si="69"/>
        <v>0</v>
      </c>
      <c r="R187" s="57">
        <f ca="1">(R186-S186-T186)*(1+'Retirement Planning'!$J$23/12)</f>
        <v>422065.44890457229</v>
      </c>
      <c r="S187" s="58">
        <f t="shared" ca="1" si="70"/>
        <v>808.33333333333337</v>
      </c>
      <c r="T187" s="273">
        <f t="shared" ca="1" si="57"/>
        <v>1.3642420526593924E-12</v>
      </c>
      <c r="U187" s="57">
        <f ca="1">(U186-V186)*(1+'Retirement Planning'!$J$23/12)</f>
        <v>323882.82734981587</v>
      </c>
      <c r="V187" s="24">
        <f ca="1">IF(AND($B$10&lt;55,B187&lt;59.5),MIN(U187,MAX(0,(Y187+AA187+AJ187-G187)*'Retirement Planning'!$J$45)),IF(B187&lt;59.5,(MIN(U187,MAX(0,((Y187+AA187+AJ187)-G187-M187)*'Retirement Planning'!$J$45))),MIN(U187,MAX(0,(Y187+AA187+AJ187-G187-M187-K187-X187)*'Retirement Planning'!$J$45))))</f>
        <v>925.96782682166963</v>
      </c>
      <c r="W187" s="7">
        <f t="shared" ca="1" si="58"/>
        <v>2465761.1947307833</v>
      </c>
      <c r="X187" s="7">
        <f>(IF(B187&gt;'Retirement Planning'!$J$34,IF('Retirement Planning'!$J$34=70,'Retirement Planning'!$J$37/12,IF('Retirement Planning'!$J$34=67,'Retirement Planning'!$J$36/12,'Retirement Planning'!$J$35/12)),0))*'Retirement Planning'!$J$38</f>
        <v>1213.6000000000001</v>
      </c>
      <c r="Y187" s="7">
        <f ca="1">'Retirement Planning'!$F$35*((1+'Retirement Planning'!$J$24)^(YEAR('Projected Retirement Drawdown'!C187)-YEAR(TODAY())))</f>
        <v>8403.49828822993</v>
      </c>
      <c r="Z187" s="7">
        <f ca="1">G187+M187+O187+0.85*X187+V187*'Retirement Planning'!$J$46+T187</f>
        <v>8908.8663290717432</v>
      </c>
      <c r="AA187" s="7">
        <f ca="1">IF(MONTH(C187)=1,(((MIN(MAX(0,((SUM(Z175:Z186)-'Retirement Planning'!$I$53-'Retirement Planning'!$I$54)-'Retirement Planning'!$J$51)*'Retirement Planning'!$I$52))))+(MIN(MAX(0,((SUM(Z175:Z186)-'Retirement Planning'!$I$53-'Retirement Planning'!$I$54)-'Retirement Planning'!$J$50)*'Retirement Planning'!$I$51),('Retirement Planning'!$J$51-'Retirement Planning'!$J$50)*'Retirement Planning'!$I$51))+(MIN(MAX(0,((SUM(Z175:Z186)-'Retirement Planning'!$I$53-'Retirement Planning'!$I$54)-'Retirement Planning'!$J$49)*'Retirement Planning'!$I$50),('Retirement Planning'!$J$50-'Retirement Planning'!$J$49)*'Retirement Planning'!$I$50)+MIN(MAX(0,((SUM(Z175:Z186)-'Retirement Planning'!$I$53-'Retirement Planning'!$I$54)-'Retirement Planning'!$J$48)*'Retirement Planning'!$I$49),('Retirement Planning'!$J$49-'Retirement Planning'!$J$48)*'Retirement Planning'!$I$49)+MIN(((SUM(Z175:Z186)-'Retirement Planning'!$I$53-'Retirement Planning'!$I$54))*'Retirement Planning'!$I$48,('Retirement Planning'!$J$48)*'Retirement Planning'!$I$48))+(IF((SUM(Z175:Z186)-'Retirement Planning'!$I$54-'Retirement Planning'!$I$61)&gt;'Retirement Planning'!$J$59,(SUM(Z175:Z186)-'Retirement Planning'!$I$54-'Retirement Planning'!$I$61-'Retirement Planning'!$J$59)*'Retirement Planning'!$I$60+'Retirement Planning'!$K$59,IF((SUM(Z175:Z186)-'Retirement Planning'!$I$54-'Retirement Planning'!$I$61)&gt;'Retirement Planning'!$J$58,(SUM(Z175:Z186)-'Retirement Planning'!$I$54-'Retirement Planning'!$I$61-'Retirement Planning'!$J$58)*'Retirement Planning'!$I$59+'Retirement Planning'!$K$58,IF((SUM(Z175:Z186)-'Retirement Planning'!$I$54-'Retirement Planning'!$I$61)&gt;'Retirement Planning'!$J$57,(SUM(Z175:Z186)-'Retirement Planning'!$I$54-'Retirement Planning'!$I$61-'Retirement Planning'!$J$57)*'Retirement Planning'!$I$58+'Retirement Planning'!$K$57,IF((SUM(Z175:Z186)-'Retirement Planning'!$I$54-'Retirement Planning'!$I$61)&gt;'Retirement Planning'!$J$56,(SUM(Z175:Z186)-'Retirement Planning'!$I$54-'Retirement Planning'!$I$61-'Retirement Planning'!$J$56)*'Retirement Planning'!$I$57+'Retirement Planning'!$K$56,(SUM(Z175:Z186)-'Retirement Planning'!$I$54-'Retirement Planning'!$I$61)*'Retirement Planning'!$I$56))))))/12,AA186)</f>
        <v>1874.4326059920743</v>
      </c>
      <c r="AB187" s="104">
        <f t="shared" ca="1" si="77"/>
        <v>0.21839587904551777</v>
      </c>
      <c r="AC187" s="7">
        <f>IF(B187&lt;65,'Retirement Planning'!$J$28,0)</f>
        <v>0</v>
      </c>
      <c r="AD187" s="7">
        <f>IF(B187&lt;65,'Retirement Planning'!$J$29/12,0)</f>
        <v>0</v>
      </c>
      <c r="AE187" s="22">
        <f>'Retirement Planning'!$J$31/12</f>
        <v>58.333333333333336</v>
      </c>
      <c r="AF187" s="22">
        <f>'Retirement Planning'!$J$32/12</f>
        <v>66.666666666666671</v>
      </c>
      <c r="AG187" s="7">
        <f>IF($B187&gt;64.9,'Retirement Planning'!$J$39/12,0)</f>
        <v>183.33333333333334</v>
      </c>
      <c r="AH187" s="7">
        <f>IF($B187&gt;64.9,'Retirement Planning'!$J$40/12,0)</f>
        <v>258.33333333333331</v>
      </c>
      <c r="AI187" s="7">
        <f>IF($B187&gt;64.9,'Retirement Planning'!$J$41/12,0)</f>
        <v>558.33333333333337</v>
      </c>
      <c r="AJ187" s="7">
        <f t="shared" ca="1" si="59"/>
        <v>316.66666666666663</v>
      </c>
      <c r="AK187" s="3" t="str">
        <f t="shared" ca="1" si="60"/>
        <v>N/A</v>
      </c>
      <c r="AL187" s="6" t="str">
        <f t="shared" ca="1" si="61"/>
        <v>N/A</v>
      </c>
      <c r="AM187" s="7">
        <f t="shared" ca="1" si="62"/>
        <v>1.1368683772161603E-12</v>
      </c>
      <c r="AN187" s="7">
        <f t="shared" ca="1" si="63"/>
        <v>11402.930894222005</v>
      </c>
      <c r="AO187" s="7">
        <f t="shared" si="64"/>
        <v>1125</v>
      </c>
    </row>
    <row r="188" spans="1:41" x14ac:dyDescent="0.2">
      <c r="A188">
        <f t="shared" si="65"/>
        <v>50</v>
      </c>
      <c r="B188" s="5">
        <f t="shared" si="66"/>
        <v>71.099999999999994</v>
      </c>
      <c r="C188" s="56">
        <f t="shared" si="67"/>
        <v>51836</v>
      </c>
      <c r="D188" s="57">
        <f ca="1">IF(AND(B187&lt;59.5,OR(B188&gt;59.5,B188=59.5)),(D187-E187+J187-K187)*(1+'Retirement Planning'!$J$23/12),(D187-E187)*(1+'Retirement Planning'!$J$23/12))</f>
        <v>392062.52459655702</v>
      </c>
      <c r="E188" s="58">
        <f t="shared" ca="1" si="54"/>
        <v>1087.0057097471763</v>
      </c>
      <c r="F188" s="57">
        <f ca="1">IF(AND(OR(B188&gt;59.5,B188=59.5),B187&lt;59.5),(F187-G187+L187-M187+N187-O187)*(1+'Retirement Planning'!$J$23/12),(F187-G187)*(1+'Retirement Planning'!$J$23/12))</f>
        <v>1331417.4825243624</v>
      </c>
      <c r="G188" s="58">
        <f ca="1">IF(AND($B$10&lt;55,B188&lt;59.5),'Retirement Planning'!$J$25,IF(OR(B188&gt;59.5,B188=59.5),MAX(0,MIN(F188,IF(D188&lt;2500,((Y188+AJ188+AA188))-X188,((Y188+AJ188+AA188)*'Retirement Planning'!$J$44)-X188))),0))</f>
        <v>7368.0240243198241</v>
      </c>
      <c r="H188" s="255">
        <f ca="1">IF(MONTH(C188)=1,IF(B188&gt;69.5,F188/(INDEX('Retirement Planning'!D$1:D$264,(160+INT(B188))))/12,0),IF(F188=0,0,H187))</f>
        <v>6133.9515822837384</v>
      </c>
      <c r="I188" s="262">
        <f t="shared" ca="1" si="55"/>
        <v>0</v>
      </c>
      <c r="J188" s="254">
        <f ca="1">IF(AND(B187&lt;59.5,OR(B188=59.5,B188&gt;59.5)),0,(J187-K187)*(1+'Retirement Planning'!$J$23/12))</f>
        <v>0</v>
      </c>
      <c r="K188" s="58">
        <f t="shared" ca="1" si="56"/>
        <v>0</v>
      </c>
      <c r="L188" s="57">
        <f>IF(AND(OR(B188&gt;59.5,B188=59.5),B187&lt;59.5),0,(L187-M187)*(1+'Retirement Planning'!$J$23/12))</f>
        <v>0</v>
      </c>
      <c r="M188" s="59">
        <f>IF(AND($B$10&lt;55,B188&lt;59.5),0,IF(B188&lt;59.5,MAX(0,MIN((($Y188+$AJ188+AA188)*'Retirement Planning'!$J$44)-$G188-$X188,L188)),0))</f>
        <v>0</v>
      </c>
      <c r="N188" s="57">
        <f ca="1">(N187-O187)*(1+'Retirement Planning'!$J$23/12)</f>
        <v>0</v>
      </c>
      <c r="O188" s="59">
        <f ca="1">IF(B188&gt;59.5,MAX(0,MIN((AA188+$Y188+$AJ188)*(IF(D188&lt;(MIN(E176:E187)+1),1,'Retirement Planning'!$J$44))-M188-$G188-$X188-(IF(D188&lt;(MIN(E176:E187)+1),D188,0)),N188)),0)</f>
        <v>0</v>
      </c>
      <c r="P188" s="57">
        <f t="shared" si="68"/>
        <v>0</v>
      </c>
      <c r="Q188" s="58">
        <f t="shared" si="69"/>
        <v>0</v>
      </c>
      <c r="R188" s="57">
        <f ca="1">(R187-S187-T187)*(1+'Retirement Planning'!$J$23/12)</f>
        <v>424241.0201398686</v>
      </c>
      <c r="S188" s="58">
        <f t="shared" ca="1" si="70"/>
        <v>808.33333333333337</v>
      </c>
      <c r="T188" s="273">
        <f t="shared" ca="1" si="57"/>
        <v>1.3642420526593924E-12</v>
      </c>
      <c r="U188" s="57">
        <f ca="1">(U187-V187)*(1+'Retirement Planning'!$J$23/12)</f>
        <v>325244.4706112821</v>
      </c>
      <c r="V188" s="24">
        <f ca="1">IF(AND($B$10&lt;55,B188&lt;59.5),MIN(U188,MAX(0,(Y188+AA188+AJ188-G188)*'Retirement Planning'!$J$45)),IF(B188&lt;59.5,(MIN(U188,MAX(0,((Y188+AA188+AJ188)-G188-M188)*'Retirement Planning'!$J$45))),MIN(U188,MAX(0,(Y188+AA188+AJ188-G188-M188-K188-X188)*'Retirement Planning'!$J$45))))</f>
        <v>925.96782682166963</v>
      </c>
      <c r="W188" s="7">
        <f t="shared" ca="1" si="58"/>
        <v>2472965.4978720699</v>
      </c>
      <c r="X188" s="7">
        <f>(IF(B188&gt;'Retirement Planning'!$J$34,IF('Retirement Planning'!$J$34=70,'Retirement Planning'!$J$37/12,IF('Retirement Planning'!$J$34=67,'Retirement Planning'!$J$36/12,'Retirement Planning'!$J$35/12)),0))*'Retirement Planning'!$J$38</f>
        <v>1213.6000000000001</v>
      </c>
      <c r="Y188" s="7">
        <f ca="1">'Retirement Planning'!$F$35*((1+'Retirement Planning'!$J$24)^(YEAR('Projected Retirement Drawdown'!C188)-YEAR(TODAY())))</f>
        <v>8403.49828822993</v>
      </c>
      <c r="Z188" s="7">
        <f ca="1">G188+M188+O188+0.85*X188+V188*'Retirement Planning'!$J$46+T188</f>
        <v>8908.8663290717432</v>
      </c>
      <c r="AA188" s="7">
        <f ca="1">IF(MONTH(C188)=1,(((MIN(MAX(0,((SUM(Z176:Z187)-'Retirement Planning'!$I$53-'Retirement Planning'!$I$54)-'Retirement Planning'!$J$51)*'Retirement Planning'!$I$52))))+(MIN(MAX(0,((SUM(Z176:Z187)-'Retirement Planning'!$I$53-'Retirement Planning'!$I$54)-'Retirement Planning'!$J$50)*'Retirement Planning'!$I$51),('Retirement Planning'!$J$51-'Retirement Planning'!$J$50)*'Retirement Planning'!$I$51))+(MIN(MAX(0,((SUM(Z176:Z187)-'Retirement Planning'!$I$53-'Retirement Planning'!$I$54)-'Retirement Planning'!$J$49)*'Retirement Planning'!$I$50),('Retirement Planning'!$J$50-'Retirement Planning'!$J$49)*'Retirement Planning'!$I$50)+MIN(MAX(0,((SUM(Z176:Z187)-'Retirement Planning'!$I$53-'Retirement Planning'!$I$54)-'Retirement Planning'!$J$48)*'Retirement Planning'!$I$49),('Retirement Planning'!$J$49-'Retirement Planning'!$J$48)*'Retirement Planning'!$I$49)+MIN(((SUM(Z176:Z187)-'Retirement Planning'!$I$53-'Retirement Planning'!$I$54))*'Retirement Planning'!$I$48,('Retirement Planning'!$J$48)*'Retirement Planning'!$I$48))+(IF((SUM(Z176:Z187)-'Retirement Planning'!$I$54-'Retirement Planning'!$I$61)&gt;'Retirement Planning'!$J$59,(SUM(Z176:Z187)-'Retirement Planning'!$I$54-'Retirement Planning'!$I$61-'Retirement Planning'!$J$59)*'Retirement Planning'!$I$60+'Retirement Planning'!$K$59,IF((SUM(Z176:Z187)-'Retirement Planning'!$I$54-'Retirement Planning'!$I$61)&gt;'Retirement Planning'!$J$58,(SUM(Z176:Z187)-'Retirement Planning'!$I$54-'Retirement Planning'!$I$61-'Retirement Planning'!$J$58)*'Retirement Planning'!$I$59+'Retirement Planning'!$K$58,IF((SUM(Z176:Z187)-'Retirement Planning'!$I$54-'Retirement Planning'!$I$61)&gt;'Retirement Planning'!$J$57,(SUM(Z176:Z187)-'Retirement Planning'!$I$54-'Retirement Planning'!$I$61-'Retirement Planning'!$J$57)*'Retirement Planning'!$I$58+'Retirement Planning'!$K$57,IF((SUM(Z176:Z187)-'Retirement Planning'!$I$54-'Retirement Planning'!$I$61)&gt;'Retirement Planning'!$J$56,(SUM(Z176:Z187)-'Retirement Planning'!$I$54-'Retirement Planning'!$I$61-'Retirement Planning'!$J$56)*'Retirement Planning'!$I$57+'Retirement Planning'!$K$56,(SUM(Z176:Z187)-'Retirement Planning'!$I$54-'Retirement Planning'!$I$61)*'Retirement Planning'!$I$56))))))/12,AA187)</f>
        <v>1874.4326059920743</v>
      </c>
      <c r="AB188" s="104">
        <f t="shared" ca="1" si="77"/>
        <v>0.21839587904551777</v>
      </c>
      <c r="AC188" s="7">
        <f>IF(B188&lt;65,'Retirement Planning'!$J$28,0)</f>
        <v>0</v>
      </c>
      <c r="AD188" s="7">
        <f>IF(B188&lt;65,'Retirement Planning'!$J$29/12,0)</f>
        <v>0</v>
      </c>
      <c r="AE188" s="22">
        <f>'Retirement Planning'!$J$31/12</f>
        <v>58.333333333333336</v>
      </c>
      <c r="AF188" s="22">
        <f>'Retirement Planning'!$J$32/12</f>
        <v>66.666666666666671</v>
      </c>
      <c r="AG188" s="7">
        <f>IF($B188&gt;64.9,'Retirement Planning'!$J$39/12,0)</f>
        <v>183.33333333333334</v>
      </c>
      <c r="AH188" s="7">
        <f>IF($B188&gt;64.9,'Retirement Planning'!$J$40/12,0)</f>
        <v>258.33333333333331</v>
      </c>
      <c r="AI188" s="7">
        <f>IF($B188&gt;64.9,'Retirement Planning'!$J$41/12,0)</f>
        <v>558.33333333333337</v>
      </c>
      <c r="AJ188" s="7">
        <f t="shared" ca="1" si="59"/>
        <v>316.66666666666663</v>
      </c>
      <c r="AK188" s="3" t="str">
        <f t="shared" ca="1" si="60"/>
        <v>N/A</v>
      </c>
      <c r="AL188" s="6" t="str">
        <f t="shared" ca="1" si="61"/>
        <v>N/A</v>
      </c>
      <c r="AM188" s="7">
        <f t="shared" ca="1" si="62"/>
        <v>1.1368683772161603E-12</v>
      </c>
      <c r="AN188" s="7">
        <f t="shared" ca="1" si="63"/>
        <v>11402.930894222005</v>
      </c>
      <c r="AO188" s="7">
        <f t="shared" si="64"/>
        <v>1125</v>
      </c>
    </row>
    <row r="189" spans="1:41" x14ac:dyDescent="0.2">
      <c r="A189">
        <f t="shared" si="65"/>
        <v>50</v>
      </c>
      <c r="B189" s="5">
        <f t="shared" si="66"/>
        <v>71.2</v>
      </c>
      <c r="C189" s="56">
        <f t="shared" si="67"/>
        <v>51867</v>
      </c>
      <c r="D189" s="57">
        <f ca="1">IF(AND(B188&lt;59.5,OR(B189&gt;59.5,B189=59.5)),(D188-E188+J188-K188)*(1+'Retirement Planning'!$J$23/12),(D188-E188)*(1+'Retirement Planning'!$J$23/12))</f>
        <v>393744.92881225806</v>
      </c>
      <c r="E189" s="58">
        <f t="shared" ca="1" si="54"/>
        <v>1127.9707267863778</v>
      </c>
      <c r="F189" s="57">
        <f ca="1">IF(AND(OR(B189&gt;59.5,B189=59.5),B188&lt;59.5),(F188-G188+L188-M188+N188-O188)*(1+'Retirement Planning'!$J$23/12),(F188-G188)*(1+'Retirement Planning'!$J$23/12))</f>
        <v>1333428.1421644178</v>
      </c>
      <c r="G189" s="58">
        <f ca="1">IF(AND($B$10&lt;55,B189&lt;59.5),'Retirement Planning'!$J$25,IF(OR(B189&gt;59.5,B189=59.5),MAX(0,MIN(F189,IF(D189&lt;2500,((Y189+AJ189+AA189))-X189,((Y189+AJ189+AA189)*'Retirement Planning'!$J$44)-X189))),0))</f>
        <v>7691.432053576671</v>
      </c>
      <c r="H189" s="255">
        <f ca="1">IF(MONTH(C189)=1,IF(B189&gt;69.5,F189/(INDEX('Retirement Planning'!D$1:D$264,(160+INT(B189))))/12,0),IF(F189=0,0,H188))</f>
        <v>6536.4124615902838</v>
      </c>
      <c r="I189" s="262">
        <f t="shared" ca="1" si="55"/>
        <v>0</v>
      </c>
      <c r="J189" s="254">
        <f ca="1">IF(AND(B188&lt;59.5,OR(B189=59.5,B189&gt;59.5)),0,(J188-K188)*(1+'Retirement Planning'!$J$23/12))</f>
        <v>0</v>
      </c>
      <c r="K189" s="58">
        <f t="shared" ca="1" si="56"/>
        <v>0</v>
      </c>
      <c r="L189" s="57">
        <f>IF(AND(OR(B189&gt;59.5,B189=59.5),B188&lt;59.5),0,(L188-M188)*(1+'Retirement Planning'!$J$23/12))</f>
        <v>0</v>
      </c>
      <c r="M189" s="59">
        <f>IF(AND($B$10&lt;55,B189&lt;59.5),0,IF(B189&lt;59.5,MAX(0,MIN((($Y189+$AJ189+AA189)*'Retirement Planning'!$J$44)-$G189-$X189,L189)),0))</f>
        <v>0</v>
      </c>
      <c r="N189" s="57">
        <f ca="1">(N188-O188)*(1+'Retirement Planning'!$J$23/12)</f>
        <v>0</v>
      </c>
      <c r="O189" s="59">
        <f ca="1">IF(B189&gt;59.5,MAX(0,MIN((AA189+$Y189+$AJ189)*(IF(D189&lt;(MIN(E177:E188)+1),1,'Retirement Planning'!$J$44))-M189-$G189-$X189-(IF(D189&lt;(MIN(E177:E188)+1),D189,0)),N189)),0)</f>
        <v>0</v>
      </c>
      <c r="P189" s="57">
        <f t="shared" si="68"/>
        <v>0</v>
      </c>
      <c r="Q189" s="58">
        <f t="shared" si="69"/>
        <v>0</v>
      </c>
      <c r="R189" s="57">
        <f ca="1">(R188-S188-T188)*(1+'Retirement Planning'!$J$23/12)</f>
        <v>426432.00167141494</v>
      </c>
      <c r="S189" s="58">
        <f t="shared" ca="1" si="70"/>
        <v>808.33333333333337</v>
      </c>
      <c r="T189" s="273">
        <f t="shared" ca="1" si="57"/>
        <v>1.5916157281026244E-12</v>
      </c>
      <c r="U189" s="57">
        <f ca="1">(U188-V188)*(1+'Retirement Planning'!$J$23/12)</f>
        <v>326615.75884585036</v>
      </c>
      <c r="V189" s="24">
        <f ca="1">IF(AND($B$10&lt;55,B189&lt;59.5),MIN(U189,MAX(0,(Y189+AA189+AJ189-G189)*'Retirement Planning'!$J$45)),IF(B189&lt;59.5,(MIN(U189,MAX(0,((Y189+AA189+AJ189)-G189-M189)*'Retirement Planning'!$J$45))),MIN(U189,MAX(0,(Y189+AA189+AJ189-G189-M189-K189-X189)*'Retirement Planning'!$J$45))))</f>
        <v>960.86395244765583</v>
      </c>
      <c r="W189" s="7">
        <f t="shared" ca="1" si="58"/>
        <v>2480220.8314939411</v>
      </c>
      <c r="X189" s="7">
        <f>(IF(B189&gt;'Retirement Planning'!$J$34,IF('Retirement Planning'!$J$34=70,'Retirement Planning'!$J$37/12,IF('Retirement Planning'!$J$34=67,'Retirement Planning'!$J$36/12,'Retirement Planning'!$J$35/12)),0))*'Retirement Planning'!$J$38</f>
        <v>1213.6000000000001</v>
      </c>
      <c r="Y189" s="7">
        <f ca="1">'Retirement Planning'!$F$35*((1+'Retirement Planning'!$J$24)^(YEAR('Projected Retirement Drawdown'!C189)-YEAR(TODAY())))</f>
        <v>8697.6207283179774</v>
      </c>
      <c r="Z189" s="7">
        <f ca="1">G189+M189+O189+0.85*X189+V189*'Retirement Planning'!$J$46+T189</f>
        <v>9251.4672274228833</v>
      </c>
      <c r="AA189" s="7">
        <f ca="1">IF(MONTH(C189)=1,(((MIN(MAX(0,((SUM(Z177:Z188)-'Retirement Planning'!$I$53-'Retirement Planning'!$I$54)-'Retirement Planning'!$J$51)*'Retirement Planning'!$I$52))))+(MIN(MAX(0,((SUM(Z177:Z188)-'Retirement Planning'!$I$53-'Retirement Planning'!$I$54)-'Retirement Planning'!$J$50)*'Retirement Planning'!$I$51),('Retirement Planning'!$J$51-'Retirement Planning'!$J$50)*'Retirement Planning'!$I$51))+(MIN(MAX(0,((SUM(Z177:Z188)-'Retirement Planning'!$I$53-'Retirement Planning'!$I$54)-'Retirement Planning'!$J$49)*'Retirement Planning'!$I$50),('Retirement Planning'!$J$50-'Retirement Planning'!$J$49)*'Retirement Planning'!$I$50)+MIN(MAX(0,((SUM(Z177:Z188)-'Retirement Planning'!$I$53-'Retirement Planning'!$I$54)-'Retirement Planning'!$J$48)*'Retirement Planning'!$I$49),('Retirement Planning'!$J$49-'Retirement Planning'!$J$48)*'Retirement Planning'!$I$49)+MIN(((SUM(Z177:Z188)-'Retirement Planning'!$I$53-'Retirement Planning'!$I$54))*'Retirement Planning'!$I$48,('Retirement Planning'!$J$48)*'Retirement Planning'!$I$48))+(IF((SUM(Z177:Z188)-'Retirement Planning'!$I$54-'Retirement Planning'!$I$61)&gt;'Retirement Planning'!$J$59,(SUM(Z177:Z188)-'Retirement Planning'!$I$54-'Retirement Planning'!$I$61-'Retirement Planning'!$J$59)*'Retirement Planning'!$I$60+'Retirement Planning'!$K$59,IF((SUM(Z177:Z188)-'Retirement Planning'!$I$54-'Retirement Planning'!$I$61)&gt;'Retirement Planning'!$J$58,(SUM(Z177:Z188)-'Retirement Planning'!$I$54-'Retirement Planning'!$I$61-'Retirement Planning'!$J$58)*'Retirement Planning'!$I$59+'Retirement Planning'!$K$58,IF((SUM(Z177:Z188)-'Retirement Planning'!$I$54-'Retirement Planning'!$I$61)&gt;'Retirement Planning'!$J$57,(SUM(Z177:Z188)-'Retirement Planning'!$I$54-'Retirement Planning'!$I$61-'Retirement Planning'!$J$57)*'Retirement Planning'!$I$58+'Retirement Planning'!$K$57,IF((SUM(Z177:Z188)-'Retirement Planning'!$I$54-'Retirement Planning'!$I$61)&gt;'Retirement Planning'!$J$56,(SUM(Z177:Z188)-'Retirement Planning'!$I$54-'Retirement Planning'!$I$61-'Retirement Planning'!$J$56)*'Retirement Planning'!$I$57+'Retirement Planning'!$K$56,(SUM(Z177:Z188)-'Retirement Planning'!$I$54-'Retirement Planning'!$I$61)*'Retirement Planning'!$I$56))))))/12,AA188)</f>
        <v>1979.5793378260626</v>
      </c>
      <c r="AB189" s="104">
        <f t="shared" ref="AB189" ca="1" si="80">SUM(AA189:AA200)/SUM(Z177:Z188)</f>
        <v>0.22220328206813775</v>
      </c>
      <c r="AC189" s="7">
        <f>IF(B189&lt;65,'Retirement Planning'!$J$28,0)</f>
        <v>0</v>
      </c>
      <c r="AD189" s="7">
        <f>IF(B189&lt;65,'Retirement Planning'!$J$29/12,0)</f>
        <v>0</v>
      </c>
      <c r="AE189" s="22">
        <f>'Retirement Planning'!$J$31/12</f>
        <v>58.333333333333336</v>
      </c>
      <c r="AF189" s="22">
        <f>'Retirement Planning'!$J$32/12</f>
        <v>66.666666666666671</v>
      </c>
      <c r="AG189" s="7">
        <f>IF($B189&gt;64.9,'Retirement Planning'!$J$39/12,0)</f>
        <v>183.33333333333334</v>
      </c>
      <c r="AH189" s="7">
        <f>IF($B189&gt;64.9,'Retirement Planning'!$J$40/12,0)</f>
        <v>258.33333333333331</v>
      </c>
      <c r="AI189" s="7">
        <f>IF($B189&gt;64.9,'Retirement Planning'!$J$41/12,0)</f>
        <v>558.33333333333337</v>
      </c>
      <c r="AJ189" s="7">
        <f t="shared" ca="1" si="59"/>
        <v>316.66666666666663</v>
      </c>
      <c r="AK189" s="3" t="str">
        <f t="shared" ca="1" si="60"/>
        <v>N/A</v>
      </c>
      <c r="AL189" s="6" t="str">
        <f t="shared" ca="1" si="61"/>
        <v>N/A</v>
      </c>
      <c r="AM189" s="7">
        <f t="shared" ca="1" si="62"/>
        <v>1.0231815394945443E-12</v>
      </c>
      <c r="AN189" s="7">
        <f t="shared" ca="1" si="63"/>
        <v>11802.20006614404</v>
      </c>
      <c r="AO189" s="7">
        <f t="shared" si="64"/>
        <v>1125</v>
      </c>
    </row>
    <row r="190" spans="1:41" x14ac:dyDescent="0.2">
      <c r="A190">
        <f t="shared" si="65"/>
        <v>50</v>
      </c>
      <c r="B190" s="5">
        <f t="shared" si="66"/>
        <v>71.3</v>
      </c>
      <c r="C190" s="56">
        <f t="shared" si="67"/>
        <v>51898</v>
      </c>
      <c r="D190" s="57">
        <f ca="1">IF(AND(B189&lt;59.5,OR(B190&gt;59.5,B190=59.5)),(D189-E189+J189-K189)*(1+'Retirement Planning'!$J$23/12),(D189-E189)*(1+'Retirement Planning'!$J$23/12))</f>
        <v>395397.99487191049</v>
      </c>
      <c r="E190" s="58">
        <f t="shared" ca="1" si="54"/>
        <v>1127.9707267863778</v>
      </c>
      <c r="F190" s="57">
        <f ca="1">IF(AND(OR(B190&gt;59.5,B190=59.5),B189&lt;59.5),(F189-G189+L189-M189+N189-O189)*(1+'Retirement Planning'!$J$23/12),(F189-G189)*(1+'Retirement Planning'!$J$23/12))</f>
        <v>1335127.3451407929</v>
      </c>
      <c r="G190" s="58">
        <f ca="1">IF(AND($B$10&lt;55,B190&lt;59.5),'Retirement Planning'!$J$25,IF(OR(B190&gt;59.5,B190=59.5),MAX(0,MIN(F190,IF(D190&lt;2500,((Y190+AJ190+AA190))-X190,((Y190+AJ190+AA190)*'Retirement Planning'!$J$44)-X190))),0))</f>
        <v>7691.432053576671</v>
      </c>
      <c r="H190" s="255">
        <f ca="1">IF(MONTH(C190)=1,IF(B190&gt;69.5,F190/(INDEX('Retirement Planning'!D$1:D$264,(160+INT(B190))))/12,0),IF(F190=0,0,H189))</f>
        <v>6536.4124615902838</v>
      </c>
      <c r="I190" s="262">
        <f t="shared" ca="1" si="55"/>
        <v>0</v>
      </c>
      <c r="J190" s="254">
        <f ca="1">IF(AND(B189&lt;59.5,OR(B190=59.5,B190&gt;59.5)),0,(J189-K189)*(1+'Retirement Planning'!$J$23/12))</f>
        <v>0</v>
      </c>
      <c r="K190" s="58">
        <f t="shared" ca="1" si="56"/>
        <v>0</v>
      </c>
      <c r="L190" s="57">
        <f>IF(AND(OR(B190&gt;59.5,B190=59.5),B189&lt;59.5),0,(L189-M189)*(1+'Retirement Planning'!$J$23/12))</f>
        <v>0</v>
      </c>
      <c r="M190" s="59">
        <f>IF(AND($B$10&lt;55,B190&lt;59.5),0,IF(B190&lt;59.5,MAX(0,MIN((($Y190+$AJ190+AA190)*'Retirement Planning'!$J$44)-$G190-$X190,L190)),0))</f>
        <v>0</v>
      </c>
      <c r="N190" s="57">
        <f ca="1">(N189-O189)*(1+'Retirement Planning'!$J$23/12)</f>
        <v>0</v>
      </c>
      <c r="O190" s="59">
        <f ca="1">IF(B190&gt;59.5,MAX(0,MIN((AA190+$Y190+$AJ190)*(IF(D190&lt;(MIN(E178:E189)+1),1,'Retirement Planning'!$J$44))-M190-$G190-$X190-(IF(D190&lt;(MIN(E178:E189)+1),D190,0)),N190)),0)</f>
        <v>0</v>
      </c>
      <c r="P190" s="57">
        <f t="shared" si="68"/>
        <v>0</v>
      </c>
      <c r="Q190" s="58">
        <f t="shared" si="69"/>
        <v>0</v>
      </c>
      <c r="R190" s="57">
        <f ca="1">(R189-S189-T189)*(1+'Retirement Planning'!$J$23/12)</f>
        <v>428638.50265547639</v>
      </c>
      <c r="S190" s="58">
        <f t="shared" ca="1" si="70"/>
        <v>808.33333333333337</v>
      </c>
      <c r="T190" s="273">
        <f t="shared" ca="1" si="57"/>
        <v>1.5916157281026244E-12</v>
      </c>
      <c r="U190" s="57">
        <f ca="1">(U189-V189)*(1+'Retirement Planning'!$J$23/12)</f>
        <v>327961.61706556432</v>
      </c>
      <c r="V190" s="24">
        <f ca="1">IF(AND($B$10&lt;55,B190&lt;59.5),MIN(U190,MAX(0,(Y190+AA190+AJ190-G190)*'Retirement Planning'!$J$45)),IF(B190&lt;59.5,(MIN(U190,MAX(0,((Y190+AA190+AJ190)-G190-M190)*'Retirement Planning'!$J$45))),MIN(U190,MAX(0,(Y190+AA190+AJ190-G190-M190-K190-X190)*'Retirement Planning'!$J$45))))</f>
        <v>960.86395244765583</v>
      </c>
      <c r="W190" s="7">
        <f t="shared" ca="1" si="58"/>
        <v>2487125.4597337442</v>
      </c>
      <c r="X190" s="7">
        <f>(IF(B190&gt;'Retirement Planning'!$J$34,IF('Retirement Planning'!$J$34=70,'Retirement Planning'!$J$37/12,IF('Retirement Planning'!$J$34=67,'Retirement Planning'!$J$36/12,'Retirement Planning'!$J$35/12)),0))*'Retirement Planning'!$J$38</f>
        <v>1213.6000000000001</v>
      </c>
      <c r="Y190" s="7">
        <f ca="1">'Retirement Planning'!$F$35*((1+'Retirement Planning'!$J$24)^(YEAR('Projected Retirement Drawdown'!C190)-YEAR(TODAY())))</f>
        <v>8697.6207283179774</v>
      </c>
      <c r="Z190" s="7">
        <f ca="1">G190+M190+O190+0.85*X190+V190*'Retirement Planning'!$J$46+T190</f>
        <v>9251.4672274228833</v>
      </c>
      <c r="AA190" s="7">
        <f ca="1">IF(MONTH(C190)=1,(((MIN(MAX(0,((SUM(Z178:Z189)-'Retirement Planning'!$I$53-'Retirement Planning'!$I$54)-'Retirement Planning'!$J$51)*'Retirement Planning'!$I$52))))+(MIN(MAX(0,((SUM(Z178:Z189)-'Retirement Planning'!$I$53-'Retirement Planning'!$I$54)-'Retirement Planning'!$J$50)*'Retirement Planning'!$I$51),('Retirement Planning'!$J$51-'Retirement Planning'!$J$50)*'Retirement Planning'!$I$51))+(MIN(MAX(0,((SUM(Z178:Z189)-'Retirement Planning'!$I$53-'Retirement Planning'!$I$54)-'Retirement Planning'!$J$49)*'Retirement Planning'!$I$50),('Retirement Planning'!$J$50-'Retirement Planning'!$J$49)*'Retirement Planning'!$I$50)+MIN(MAX(0,((SUM(Z178:Z189)-'Retirement Planning'!$I$53-'Retirement Planning'!$I$54)-'Retirement Planning'!$J$48)*'Retirement Planning'!$I$49),('Retirement Planning'!$J$49-'Retirement Planning'!$J$48)*'Retirement Planning'!$I$49)+MIN(((SUM(Z178:Z189)-'Retirement Planning'!$I$53-'Retirement Planning'!$I$54))*'Retirement Planning'!$I$48,('Retirement Planning'!$J$48)*'Retirement Planning'!$I$48))+(IF((SUM(Z178:Z189)-'Retirement Planning'!$I$54-'Retirement Planning'!$I$61)&gt;'Retirement Planning'!$J$59,(SUM(Z178:Z189)-'Retirement Planning'!$I$54-'Retirement Planning'!$I$61-'Retirement Planning'!$J$59)*'Retirement Planning'!$I$60+'Retirement Planning'!$K$59,IF((SUM(Z178:Z189)-'Retirement Planning'!$I$54-'Retirement Planning'!$I$61)&gt;'Retirement Planning'!$J$58,(SUM(Z178:Z189)-'Retirement Planning'!$I$54-'Retirement Planning'!$I$61-'Retirement Planning'!$J$58)*'Retirement Planning'!$I$59+'Retirement Planning'!$K$58,IF((SUM(Z178:Z189)-'Retirement Planning'!$I$54-'Retirement Planning'!$I$61)&gt;'Retirement Planning'!$J$57,(SUM(Z178:Z189)-'Retirement Planning'!$I$54-'Retirement Planning'!$I$61-'Retirement Planning'!$J$57)*'Retirement Planning'!$I$58+'Retirement Planning'!$K$57,IF((SUM(Z178:Z189)-'Retirement Planning'!$I$54-'Retirement Planning'!$I$61)&gt;'Retirement Planning'!$J$56,(SUM(Z178:Z189)-'Retirement Planning'!$I$54-'Retirement Planning'!$I$61-'Retirement Planning'!$J$56)*'Retirement Planning'!$I$57+'Retirement Planning'!$K$56,(SUM(Z178:Z189)-'Retirement Planning'!$I$54-'Retirement Planning'!$I$61)*'Retirement Planning'!$I$56))))))/12,AA189)</f>
        <v>1979.5793378260626</v>
      </c>
      <c r="AB190" s="104">
        <f t="shared" ref="AB190:AB253" ca="1" si="81">AB189</f>
        <v>0.22220328206813775</v>
      </c>
      <c r="AC190" s="7">
        <f>IF(B190&lt;65,'Retirement Planning'!$J$28,0)</f>
        <v>0</v>
      </c>
      <c r="AD190" s="7">
        <f>IF(B190&lt;65,'Retirement Planning'!$J$29/12,0)</f>
        <v>0</v>
      </c>
      <c r="AE190" s="22">
        <f>'Retirement Planning'!$J$31/12</f>
        <v>58.333333333333336</v>
      </c>
      <c r="AF190" s="22">
        <f>'Retirement Planning'!$J$32/12</f>
        <v>66.666666666666671</v>
      </c>
      <c r="AG190" s="7">
        <f>IF($B190&gt;64.9,'Retirement Planning'!$J$39/12,0)</f>
        <v>183.33333333333334</v>
      </c>
      <c r="AH190" s="7">
        <f>IF($B190&gt;64.9,'Retirement Planning'!$J$40/12,0)</f>
        <v>258.33333333333331</v>
      </c>
      <c r="AI190" s="7">
        <f>IF($B190&gt;64.9,'Retirement Planning'!$J$41/12,0)</f>
        <v>558.33333333333337</v>
      </c>
      <c r="AJ190" s="7">
        <f t="shared" ca="1" si="59"/>
        <v>316.66666666666663</v>
      </c>
      <c r="AK190" s="3" t="str">
        <f t="shared" ca="1" si="60"/>
        <v>N/A</v>
      </c>
      <c r="AL190" s="6" t="str">
        <f t="shared" ca="1" si="61"/>
        <v>N/A</v>
      </c>
      <c r="AM190" s="7">
        <f t="shared" ca="1" si="62"/>
        <v>1.0231815394945443E-12</v>
      </c>
      <c r="AN190" s="7">
        <f t="shared" ca="1" si="63"/>
        <v>11802.20006614404</v>
      </c>
      <c r="AO190" s="7">
        <f t="shared" si="64"/>
        <v>1125</v>
      </c>
    </row>
    <row r="191" spans="1:41" x14ac:dyDescent="0.2">
      <c r="A191">
        <f t="shared" si="65"/>
        <v>50</v>
      </c>
      <c r="B191" s="5">
        <f t="shared" si="66"/>
        <v>71.400000000000006</v>
      </c>
      <c r="C191" s="56">
        <f t="shared" si="67"/>
        <v>51926</v>
      </c>
      <c r="D191" s="57">
        <f ca="1">IF(AND(B190&lt;59.5,OR(B191&gt;59.5,B191=59.5)),(D190-E190+J190-K190)*(1+'Retirement Planning'!$J$23/12),(D190-E190)*(1+'Retirement Planning'!$J$23/12))</f>
        <v>397062.77014948544</v>
      </c>
      <c r="E191" s="58">
        <f t="shared" ca="1" si="54"/>
        <v>1127.9707267863778</v>
      </c>
      <c r="F191" s="57">
        <f ca="1">IF(AND(OR(B191&gt;59.5,B191=59.5),B190&lt;59.5),(F190-G190+L190-M190+N190-O190)*(1+'Retirement Planning'!$J$23/12),(F190-G190)*(1+'Retirement Planning'!$J$23/12))</f>
        <v>1336838.5841382507</v>
      </c>
      <c r="G191" s="58">
        <f ca="1">IF(AND($B$10&lt;55,B191&lt;59.5),'Retirement Planning'!$J$25,IF(OR(B191&gt;59.5,B191=59.5),MAX(0,MIN(F191,IF(D191&lt;2500,((Y191+AJ191+AA191))-X191,((Y191+AJ191+AA191)*'Retirement Planning'!$J$44)-X191))),0))</f>
        <v>7691.432053576671</v>
      </c>
      <c r="H191" s="255">
        <f ca="1">IF(MONTH(C191)=1,IF(B191&gt;69.5,F191/(INDEX('Retirement Planning'!D$1:D$264,(160+INT(B191))))/12,0),IF(F191=0,0,H190))</f>
        <v>6536.4124615902838</v>
      </c>
      <c r="I191" s="262">
        <f t="shared" ca="1" si="55"/>
        <v>0</v>
      </c>
      <c r="J191" s="254">
        <f ca="1">IF(AND(B190&lt;59.5,OR(B191=59.5,B191&gt;59.5)),0,(J190-K190)*(1+'Retirement Planning'!$J$23/12))</f>
        <v>0</v>
      </c>
      <c r="K191" s="58">
        <f t="shared" ca="1" si="56"/>
        <v>0</v>
      </c>
      <c r="L191" s="57">
        <f>IF(AND(OR(B191&gt;59.5,B191=59.5),B190&lt;59.5),0,(L190-M190)*(1+'Retirement Planning'!$J$23/12))</f>
        <v>0</v>
      </c>
      <c r="M191" s="59">
        <f>IF(AND($B$10&lt;55,B191&lt;59.5),0,IF(B191&lt;59.5,MAX(0,MIN((($Y191+$AJ191+AA191)*'Retirement Planning'!$J$44)-$G191-$X191,L191)),0))</f>
        <v>0</v>
      </c>
      <c r="N191" s="57">
        <f ca="1">(N190-O190)*(1+'Retirement Planning'!$J$23/12)</f>
        <v>0</v>
      </c>
      <c r="O191" s="59">
        <f ca="1">IF(B191&gt;59.5,MAX(0,MIN((AA191+$Y191+$AJ191)*(IF(D191&lt;(MIN(E179:E190)+1),1,'Retirement Planning'!$J$44))-M191-$G191-$X191-(IF(D191&lt;(MIN(E179:E190)+1),D191,0)),N191)),0)</f>
        <v>0</v>
      </c>
      <c r="P191" s="57">
        <f t="shared" si="68"/>
        <v>0</v>
      </c>
      <c r="Q191" s="58">
        <f t="shared" si="69"/>
        <v>0</v>
      </c>
      <c r="R191" s="57">
        <f ca="1">(R190-S190-T190)*(1+'Retirement Planning'!$J$23/12)</f>
        <v>430860.63302150823</v>
      </c>
      <c r="S191" s="58">
        <f t="shared" ca="1" si="70"/>
        <v>808.33333333333337</v>
      </c>
      <c r="T191" s="273">
        <f t="shared" ca="1" si="57"/>
        <v>1.5916157281026244E-12</v>
      </c>
      <c r="U191" s="57">
        <f ca="1">(U190-V190)*(1+'Retirement Planning'!$J$23/12)</f>
        <v>329317.00844766787</v>
      </c>
      <c r="V191" s="24">
        <f ca="1">IF(AND($B$10&lt;55,B191&lt;59.5),MIN(U191,MAX(0,(Y191+AA191+AJ191-G191)*'Retirement Planning'!$J$45)),IF(B191&lt;59.5,(MIN(U191,MAX(0,((Y191+AA191+AJ191)-G191-M191)*'Retirement Planning'!$J$45))),MIN(U191,MAX(0,(Y191+AA191+AJ191-G191-M191-K191-X191)*'Retirement Planning'!$J$45))))</f>
        <v>960.86395244765583</v>
      </c>
      <c r="W191" s="7">
        <f t="shared" ca="1" si="58"/>
        <v>2494078.9957569125</v>
      </c>
      <c r="X191" s="7">
        <f>(IF(B191&gt;'Retirement Planning'!$J$34,IF('Retirement Planning'!$J$34=70,'Retirement Planning'!$J$37/12,IF('Retirement Planning'!$J$34=67,'Retirement Planning'!$J$36/12,'Retirement Planning'!$J$35/12)),0))*'Retirement Planning'!$J$38</f>
        <v>1213.6000000000001</v>
      </c>
      <c r="Y191" s="7">
        <f ca="1">'Retirement Planning'!$F$35*((1+'Retirement Planning'!$J$24)^(YEAR('Projected Retirement Drawdown'!C191)-YEAR(TODAY())))</f>
        <v>8697.6207283179774</v>
      </c>
      <c r="Z191" s="7">
        <f ca="1">G191+M191+O191+0.85*X191+V191*'Retirement Planning'!$J$46+T191</f>
        <v>9251.4672274228833</v>
      </c>
      <c r="AA191" s="7">
        <f ca="1">IF(MONTH(C191)=1,(((MIN(MAX(0,((SUM(Z179:Z190)-'Retirement Planning'!$I$53-'Retirement Planning'!$I$54)-'Retirement Planning'!$J$51)*'Retirement Planning'!$I$52))))+(MIN(MAX(0,((SUM(Z179:Z190)-'Retirement Planning'!$I$53-'Retirement Planning'!$I$54)-'Retirement Planning'!$J$50)*'Retirement Planning'!$I$51),('Retirement Planning'!$J$51-'Retirement Planning'!$J$50)*'Retirement Planning'!$I$51))+(MIN(MAX(0,((SUM(Z179:Z190)-'Retirement Planning'!$I$53-'Retirement Planning'!$I$54)-'Retirement Planning'!$J$49)*'Retirement Planning'!$I$50),('Retirement Planning'!$J$50-'Retirement Planning'!$J$49)*'Retirement Planning'!$I$50)+MIN(MAX(0,((SUM(Z179:Z190)-'Retirement Planning'!$I$53-'Retirement Planning'!$I$54)-'Retirement Planning'!$J$48)*'Retirement Planning'!$I$49),('Retirement Planning'!$J$49-'Retirement Planning'!$J$48)*'Retirement Planning'!$I$49)+MIN(((SUM(Z179:Z190)-'Retirement Planning'!$I$53-'Retirement Planning'!$I$54))*'Retirement Planning'!$I$48,('Retirement Planning'!$J$48)*'Retirement Planning'!$I$48))+(IF((SUM(Z179:Z190)-'Retirement Planning'!$I$54-'Retirement Planning'!$I$61)&gt;'Retirement Planning'!$J$59,(SUM(Z179:Z190)-'Retirement Planning'!$I$54-'Retirement Planning'!$I$61-'Retirement Planning'!$J$59)*'Retirement Planning'!$I$60+'Retirement Planning'!$K$59,IF((SUM(Z179:Z190)-'Retirement Planning'!$I$54-'Retirement Planning'!$I$61)&gt;'Retirement Planning'!$J$58,(SUM(Z179:Z190)-'Retirement Planning'!$I$54-'Retirement Planning'!$I$61-'Retirement Planning'!$J$58)*'Retirement Planning'!$I$59+'Retirement Planning'!$K$58,IF((SUM(Z179:Z190)-'Retirement Planning'!$I$54-'Retirement Planning'!$I$61)&gt;'Retirement Planning'!$J$57,(SUM(Z179:Z190)-'Retirement Planning'!$I$54-'Retirement Planning'!$I$61-'Retirement Planning'!$J$57)*'Retirement Planning'!$I$58+'Retirement Planning'!$K$57,IF((SUM(Z179:Z190)-'Retirement Planning'!$I$54-'Retirement Planning'!$I$61)&gt;'Retirement Planning'!$J$56,(SUM(Z179:Z190)-'Retirement Planning'!$I$54-'Retirement Planning'!$I$61-'Retirement Planning'!$J$56)*'Retirement Planning'!$I$57+'Retirement Planning'!$K$56,(SUM(Z179:Z190)-'Retirement Planning'!$I$54-'Retirement Planning'!$I$61)*'Retirement Planning'!$I$56))))))/12,AA190)</f>
        <v>1979.5793378260626</v>
      </c>
      <c r="AB191" s="104">
        <f t="shared" ca="1" si="77"/>
        <v>0.22220328206813775</v>
      </c>
      <c r="AC191" s="7">
        <f>IF(B191&lt;65,'Retirement Planning'!$J$28,0)</f>
        <v>0</v>
      </c>
      <c r="AD191" s="7">
        <f>IF(B191&lt;65,'Retirement Planning'!$J$29/12,0)</f>
        <v>0</v>
      </c>
      <c r="AE191" s="22">
        <f>'Retirement Planning'!$J$31/12</f>
        <v>58.333333333333336</v>
      </c>
      <c r="AF191" s="22">
        <f>'Retirement Planning'!$J$32/12</f>
        <v>66.666666666666671</v>
      </c>
      <c r="AG191" s="7">
        <f>IF($B191&gt;64.9,'Retirement Planning'!$J$39/12,0)</f>
        <v>183.33333333333334</v>
      </c>
      <c r="AH191" s="7">
        <f>IF($B191&gt;64.9,'Retirement Planning'!$J$40/12,0)</f>
        <v>258.33333333333331</v>
      </c>
      <c r="AI191" s="7">
        <f>IF($B191&gt;64.9,'Retirement Planning'!$J$41/12,0)</f>
        <v>558.33333333333337</v>
      </c>
      <c r="AJ191" s="7">
        <f t="shared" ca="1" si="59"/>
        <v>316.66666666666663</v>
      </c>
      <c r="AK191" s="3" t="str">
        <f t="shared" ca="1" si="60"/>
        <v>N/A</v>
      </c>
      <c r="AL191" s="6" t="str">
        <f t="shared" ca="1" si="61"/>
        <v>N/A</v>
      </c>
      <c r="AM191" s="7">
        <f t="shared" ca="1" si="62"/>
        <v>1.0231815394945443E-12</v>
      </c>
      <c r="AN191" s="7">
        <f t="shared" ca="1" si="63"/>
        <v>11802.20006614404</v>
      </c>
      <c r="AO191" s="7">
        <f t="shared" si="64"/>
        <v>1125</v>
      </c>
    </row>
    <row r="192" spans="1:41" x14ac:dyDescent="0.2">
      <c r="A192">
        <f t="shared" si="65"/>
        <v>50</v>
      </c>
      <c r="B192" s="5">
        <f t="shared" si="66"/>
        <v>71.5</v>
      </c>
      <c r="C192" s="56">
        <f t="shared" si="67"/>
        <v>51957</v>
      </c>
      <c r="D192" s="57">
        <f ca="1">IF(AND(B191&lt;59.5,OR(B192&gt;59.5,B192=59.5)),(D191-E191+J191-K191)*(1+'Retirement Planning'!$J$23/12),(D191-E191)*(1+'Retirement Planning'!$J$23/12))</f>
        <v>398739.33758527652</v>
      </c>
      <c r="E192" s="58">
        <f t="shared" ca="1" si="54"/>
        <v>1127.9707267863778</v>
      </c>
      <c r="F192" s="57">
        <f ca="1">IF(AND(OR(B192&gt;59.5,B192=59.5),B191&lt;59.5),(F191-G191+L191-M191+N191-O191)*(1+'Retirement Planning'!$J$23/12),(F191-G191)*(1+'Retirement Planning'!$J$23/12))</f>
        <v>1338561.9444119404</v>
      </c>
      <c r="G192" s="58">
        <f ca="1">IF(AND($B$10&lt;55,B192&lt;59.5),'Retirement Planning'!$J$25,IF(OR(B192&gt;59.5,B192=59.5),MAX(0,MIN(F192,IF(D192&lt;2500,((Y192+AJ192+AA192))-X192,((Y192+AJ192+AA192)*'Retirement Planning'!$J$44)-X192))),0))</f>
        <v>7691.432053576671</v>
      </c>
      <c r="H192" s="255">
        <f ca="1">IF(MONTH(C192)=1,IF(B192&gt;69.5,F192/(INDEX('Retirement Planning'!D$1:D$264,(160+INT(B192))))/12,0),IF(F192=0,0,H191))</f>
        <v>6536.4124615902838</v>
      </c>
      <c r="I192" s="262">
        <f t="shared" ca="1" si="55"/>
        <v>0</v>
      </c>
      <c r="J192" s="254">
        <f ca="1">IF(AND(B191&lt;59.5,OR(B192=59.5,B192&gt;59.5)),0,(J191-K191)*(1+'Retirement Planning'!$J$23/12))</f>
        <v>0</v>
      </c>
      <c r="K192" s="58">
        <f t="shared" ca="1" si="56"/>
        <v>0</v>
      </c>
      <c r="L192" s="57">
        <f>IF(AND(OR(B192&gt;59.5,B192=59.5),B191&lt;59.5),0,(L191-M191)*(1+'Retirement Planning'!$J$23/12))</f>
        <v>0</v>
      </c>
      <c r="M192" s="59">
        <f>IF(AND($B$10&lt;55,B192&lt;59.5),0,IF(B192&lt;59.5,MAX(0,MIN((($Y192+$AJ192+AA192)*'Retirement Planning'!$J$44)-$G192-$X192,L192)),0))</f>
        <v>0</v>
      </c>
      <c r="N192" s="57">
        <f ca="1">(N191-O191)*(1+'Retirement Planning'!$J$23/12)</f>
        <v>0</v>
      </c>
      <c r="O192" s="59">
        <f ca="1">IF(B192&gt;59.5,MAX(0,MIN((AA192+$Y192+$AJ192)*(IF(D192&lt;(MIN(E180:E191)+1),1,'Retirement Planning'!$J$44))-M192-$G192-$X192-(IF(D192&lt;(MIN(E180:E191)+1),D192,0)),N192)),0)</f>
        <v>0</v>
      </c>
      <c r="P192" s="57">
        <f t="shared" si="68"/>
        <v>0</v>
      </c>
      <c r="Q192" s="58">
        <f t="shared" si="69"/>
        <v>0</v>
      </c>
      <c r="R192" s="57">
        <f ca="1">(R191-S191-T191)*(1+'Retirement Planning'!$J$23/12)</f>
        <v>433098.50347763282</v>
      </c>
      <c r="S192" s="58">
        <f t="shared" ca="1" si="70"/>
        <v>808.33333333333337</v>
      </c>
      <c r="T192" s="273">
        <f t="shared" ca="1" si="57"/>
        <v>1.5916157281026244E-12</v>
      </c>
      <c r="U192" s="57">
        <f ca="1">(U191-V191)*(1+'Retirement Planning'!$J$23/12)</f>
        <v>330682.00051872805</v>
      </c>
      <c r="V192" s="24">
        <f ca="1">IF(AND($B$10&lt;55,B192&lt;59.5),MIN(U192,MAX(0,(Y192+AA192+AJ192-G192)*'Retirement Planning'!$J$45)),IF(B192&lt;59.5,(MIN(U192,MAX(0,((Y192+AA192+AJ192)-G192-M192)*'Retirement Planning'!$J$45))),MIN(U192,MAX(0,(Y192+AA192+AJ192-G192-M192-K192-X192)*'Retirement Planning'!$J$45))))</f>
        <v>960.86395244765583</v>
      </c>
      <c r="W192" s="7">
        <f t="shared" ca="1" si="58"/>
        <v>2501081.7859935779</v>
      </c>
      <c r="X192" s="7">
        <f>(IF(B192&gt;'Retirement Planning'!$J$34,IF('Retirement Planning'!$J$34=70,'Retirement Planning'!$J$37/12,IF('Retirement Planning'!$J$34=67,'Retirement Planning'!$J$36/12,'Retirement Planning'!$J$35/12)),0))*'Retirement Planning'!$J$38</f>
        <v>1213.6000000000001</v>
      </c>
      <c r="Y192" s="7">
        <f ca="1">'Retirement Planning'!$F$35*((1+'Retirement Planning'!$J$24)^(YEAR('Projected Retirement Drawdown'!C192)-YEAR(TODAY())))</f>
        <v>8697.6207283179774</v>
      </c>
      <c r="Z192" s="7">
        <f ca="1">G192+M192+O192+0.85*X192+V192*'Retirement Planning'!$J$46+T192</f>
        <v>9251.4672274228833</v>
      </c>
      <c r="AA192" s="7">
        <f ca="1">IF(MONTH(C192)=1,(((MIN(MAX(0,((SUM(Z180:Z191)-'Retirement Planning'!$I$53-'Retirement Planning'!$I$54)-'Retirement Planning'!$J$51)*'Retirement Planning'!$I$52))))+(MIN(MAX(0,((SUM(Z180:Z191)-'Retirement Planning'!$I$53-'Retirement Planning'!$I$54)-'Retirement Planning'!$J$50)*'Retirement Planning'!$I$51),('Retirement Planning'!$J$51-'Retirement Planning'!$J$50)*'Retirement Planning'!$I$51))+(MIN(MAX(0,((SUM(Z180:Z191)-'Retirement Planning'!$I$53-'Retirement Planning'!$I$54)-'Retirement Planning'!$J$49)*'Retirement Planning'!$I$50),('Retirement Planning'!$J$50-'Retirement Planning'!$J$49)*'Retirement Planning'!$I$50)+MIN(MAX(0,((SUM(Z180:Z191)-'Retirement Planning'!$I$53-'Retirement Planning'!$I$54)-'Retirement Planning'!$J$48)*'Retirement Planning'!$I$49),('Retirement Planning'!$J$49-'Retirement Planning'!$J$48)*'Retirement Planning'!$I$49)+MIN(((SUM(Z180:Z191)-'Retirement Planning'!$I$53-'Retirement Planning'!$I$54))*'Retirement Planning'!$I$48,('Retirement Planning'!$J$48)*'Retirement Planning'!$I$48))+(IF((SUM(Z180:Z191)-'Retirement Planning'!$I$54-'Retirement Planning'!$I$61)&gt;'Retirement Planning'!$J$59,(SUM(Z180:Z191)-'Retirement Planning'!$I$54-'Retirement Planning'!$I$61-'Retirement Planning'!$J$59)*'Retirement Planning'!$I$60+'Retirement Planning'!$K$59,IF((SUM(Z180:Z191)-'Retirement Planning'!$I$54-'Retirement Planning'!$I$61)&gt;'Retirement Planning'!$J$58,(SUM(Z180:Z191)-'Retirement Planning'!$I$54-'Retirement Planning'!$I$61-'Retirement Planning'!$J$58)*'Retirement Planning'!$I$59+'Retirement Planning'!$K$58,IF((SUM(Z180:Z191)-'Retirement Planning'!$I$54-'Retirement Planning'!$I$61)&gt;'Retirement Planning'!$J$57,(SUM(Z180:Z191)-'Retirement Planning'!$I$54-'Retirement Planning'!$I$61-'Retirement Planning'!$J$57)*'Retirement Planning'!$I$58+'Retirement Planning'!$K$57,IF((SUM(Z180:Z191)-'Retirement Planning'!$I$54-'Retirement Planning'!$I$61)&gt;'Retirement Planning'!$J$56,(SUM(Z180:Z191)-'Retirement Planning'!$I$54-'Retirement Planning'!$I$61-'Retirement Planning'!$J$56)*'Retirement Planning'!$I$57+'Retirement Planning'!$K$56,(SUM(Z180:Z191)-'Retirement Planning'!$I$54-'Retirement Planning'!$I$61)*'Retirement Planning'!$I$56))))))/12,AA191)</f>
        <v>1979.5793378260626</v>
      </c>
      <c r="AB192" s="104">
        <f t="shared" ca="1" si="77"/>
        <v>0.22220328206813775</v>
      </c>
      <c r="AC192" s="7">
        <f>IF(B192&lt;65,'Retirement Planning'!$J$28,0)</f>
        <v>0</v>
      </c>
      <c r="AD192" s="7">
        <f>IF(B192&lt;65,'Retirement Planning'!$J$29/12,0)</f>
        <v>0</v>
      </c>
      <c r="AE192" s="22">
        <f>'Retirement Planning'!$J$31/12</f>
        <v>58.333333333333336</v>
      </c>
      <c r="AF192" s="22">
        <f>'Retirement Planning'!$J$32/12</f>
        <v>66.666666666666671</v>
      </c>
      <c r="AG192" s="7">
        <f>IF($B192&gt;64.9,'Retirement Planning'!$J$39/12,0)</f>
        <v>183.33333333333334</v>
      </c>
      <c r="AH192" s="7">
        <f>IF($B192&gt;64.9,'Retirement Planning'!$J$40/12,0)</f>
        <v>258.33333333333331</v>
      </c>
      <c r="AI192" s="7">
        <f>IF($B192&gt;64.9,'Retirement Planning'!$J$41/12,0)</f>
        <v>558.33333333333337</v>
      </c>
      <c r="AJ192" s="7">
        <f t="shared" ca="1" si="59"/>
        <v>316.66666666666663</v>
      </c>
      <c r="AK192" s="3" t="str">
        <f t="shared" ca="1" si="60"/>
        <v>N/A</v>
      </c>
      <c r="AL192" s="6" t="str">
        <f t="shared" ca="1" si="61"/>
        <v>N/A</v>
      </c>
      <c r="AM192" s="7">
        <f t="shared" ca="1" si="62"/>
        <v>1.0231815394945443E-12</v>
      </c>
      <c r="AN192" s="7">
        <f t="shared" ca="1" si="63"/>
        <v>11802.20006614404</v>
      </c>
      <c r="AO192" s="7">
        <f t="shared" si="64"/>
        <v>1125</v>
      </c>
    </row>
    <row r="193" spans="1:41" x14ac:dyDescent="0.2">
      <c r="A193">
        <f t="shared" si="65"/>
        <v>50</v>
      </c>
      <c r="B193" s="5">
        <f t="shared" si="66"/>
        <v>71.5</v>
      </c>
      <c r="C193" s="56">
        <f t="shared" si="67"/>
        <v>51987</v>
      </c>
      <c r="D193" s="57">
        <f ca="1">IF(AND(B192&lt;59.5,OR(B193&gt;59.5,B193=59.5)),(D192-E192+J192-K192)*(1+'Retirement Planning'!$J$23/12),(D192-E192)*(1+'Retirement Planning'!$J$23/12))</f>
        <v>400427.78070707113</v>
      </c>
      <c r="E193" s="58">
        <f t="shared" ca="1" si="54"/>
        <v>1127.9707267863778</v>
      </c>
      <c r="F193" s="57">
        <f ca="1">IF(AND(OR(B193&gt;59.5,B193=59.5),B192&lt;59.5),(F192-G192+L192-M192+N192-O192)*(1+'Retirement Planning'!$J$23/12),(F192-G192)*(1+'Retirement Planning'!$J$23/12))</f>
        <v>1340297.5118209021</v>
      </c>
      <c r="G193" s="58">
        <f ca="1">IF(AND($B$10&lt;55,B193&lt;59.5),'Retirement Planning'!$J$25,IF(OR(B193&gt;59.5,B193=59.5),MAX(0,MIN(F193,IF(D193&lt;2500,((Y193+AJ193+AA193))-X193,((Y193+AJ193+AA193)*'Retirement Planning'!$J$44)-X193))),0))</f>
        <v>7691.432053576671</v>
      </c>
      <c r="H193" s="255">
        <f ca="1">IF(MONTH(C193)=1,IF(B193&gt;69.5,F193/(INDEX('Retirement Planning'!D$1:D$264,(160+INT(B193))))/12,0),IF(F193=0,0,H192))</f>
        <v>6536.4124615902838</v>
      </c>
      <c r="I193" s="262">
        <f t="shared" ca="1" si="55"/>
        <v>0</v>
      </c>
      <c r="J193" s="254">
        <f ca="1">IF(AND(B192&lt;59.5,OR(B193=59.5,B193&gt;59.5)),0,(J192-K192)*(1+'Retirement Planning'!$J$23/12))</f>
        <v>0</v>
      </c>
      <c r="K193" s="58">
        <f t="shared" ca="1" si="56"/>
        <v>0</v>
      </c>
      <c r="L193" s="57">
        <f>IF(AND(OR(B193&gt;59.5,B193=59.5),B192&lt;59.5),0,(L192-M192)*(1+'Retirement Planning'!$J$23/12))</f>
        <v>0</v>
      </c>
      <c r="M193" s="59">
        <f>IF(AND($B$10&lt;55,B193&lt;59.5),0,IF(B193&lt;59.5,MAX(0,MIN((($Y193+$AJ193+AA193)*'Retirement Planning'!$J$44)-$G193-$X193,L193)),0))</f>
        <v>0</v>
      </c>
      <c r="N193" s="57">
        <f ca="1">(N192-O192)*(1+'Retirement Planning'!$J$23/12)</f>
        <v>0</v>
      </c>
      <c r="O193" s="59">
        <f ca="1">IF(B193&gt;59.5,MAX(0,MIN((AA193+$Y193+$AJ193)*(IF(D193&lt;(MIN(E181:E192)+1),1,'Retirement Planning'!$J$44))-M193-$G193-$X193-(IF(D193&lt;(MIN(E181:E192)+1),D193,0)),N193)),0)</f>
        <v>0</v>
      </c>
      <c r="P193" s="57">
        <f t="shared" si="68"/>
        <v>0</v>
      </c>
      <c r="Q193" s="58">
        <f t="shared" si="69"/>
        <v>0</v>
      </c>
      <c r="R193" s="57">
        <f ca="1">(R192-S192-T192)*(1+'Retirement Planning'!$J$23/12)</f>
        <v>435352.22551615495</v>
      </c>
      <c r="S193" s="58">
        <f t="shared" ca="1" si="70"/>
        <v>808.33333333333337</v>
      </c>
      <c r="T193" s="273">
        <f t="shared" ca="1" si="57"/>
        <v>1.5916157281026244E-12</v>
      </c>
      <c r="U193" s="57">
        <f ca="1">(U192-V192)*(1+'Retirement Planning'!$J$23/12)</f>
        <v>332056.66128362488</v>
      </c>
      <c r="V193" s="24">
        <f ca="1">IF(AND($B$10&lt;55,B193&lt;59.5),MIN(U193,MAX(0,(Y193+AA193+AJ193-G193)*'Retirement Planning'!$J$45)),IF(B193&lt;59.5,(MIN(U193,MAX(0,((Y193+AA193+AJ193)-G193-M193)*'Retirement Planning'!$J$45))),MIN(U193,MAX(0,(Y193+AA193+AJ193-G193-M193-K193-X193)*'Retirement Planning'!$J$45))))</f>
        <v>960.86395244765583</v>
      </c>
      <c r="W193" s="7">
        <f t="shared" ca="1" si="58"/>
        <v>2508134.1793277529</v>
      </c>
      <c r="X193" s="7">
        <f>(IF(B193&gt;'Retirement Planning'!$J$34,IF('Retirement Planning'!$J$34=70,'Retirement Planning'!$J$37/12,IF('Retirement Planning'!$J$34=67,'Retirement Planning'!$J$36/12,'Retirement Planning'!$J$35/12)),0))*'Retirement Planning'!$J$38</f>
        <v>1213.6000000000001</v>
      </c>
      <c r="Y193" s="7">
        <f ca="1">'Retirement Planning'!$F$35*((1+'Retirement Planning'!$J$24)^(YEAR('Projected Retirement Drawdown'!C193)-YEAR(TODAY())))</f>
        <v>8697.6207283179774</v>
      </c>
      <c r="Z193" s="7">
        <f ca="1">G193+M193+O193+0.85*X193+V193*'Retirement Planning'!$J$46+T193</f>
        <v>9251.4672274228833</v>
      </c>
      <c r="AA193" s="7">
        <f ca="1">IF(MONTH(C193)=1,(((MIN(MAX(0,((SUM(Z181:Z192)-'Retirement Planning'!$I$53-'Retirement Planning'!$I$54)-'Retirement Planning'!$J$51)*'Retirement Planning'!$I$52))))+(MIN(MAX(0,((SUM(Z181:Z192)-'Retirement Planning'!$I$53-'Retirement Planning'!$I$54)-'Retirement Planning'!$J$50)*'Retirement Planning'!$I$51),('Retirement Planning'!$J$51-'Retirement Planning'!$J$50)*'Retirement Planning'!$I$51))+(MIN(MAX(0,((SUM(Z181:Z192)-'Retirement Planning'!$I$53-'Retirement Planning'!$I$54)-'Retirement Planning'!$J$49)*'Retirement Planning'!$I$50),('Retirement Planning'!$J$50-'Retirement Planning'!$J$49)*'Retirement Planning'!$I$50)+MIN(MAX(0,((SUM(Z181:Z192)-'Retirement Planning'!$I$53-'Retirement Planning'!$I$54)-'Retirement Planning'!$J$48)*'Retirement Planning'!$I$49),('Retirement Planning'!$J$49-'Retirement Planning'!$J$48)*'Retirement Planning'!$I$49)+MIN(((SUM(Z181:Z192)-'Retirement Planning'!$I$53-'Retirement Planning'!$I$54))*'Retirement Planning'!$I$48,('Retirement Planning'!$J$48)*'Retirement Planning'!$I$48))+(IF((SUM(Z181:Z192)-'Retirement Planning'!$I$54-'Retirement Planning'!$I$61)&gt;'Retirement Planning'!$J$59,(SUM(Z181:Z192)-'Retirement Planning'!$I$54-'Retirement Planning'!$I$61-'Retirement Planning'!$J$59)*'Retirement Planning'!$I$60+'Retirement Planning'!$K$59,IF((SUM(Z181:Z192)-'Retirement Planning'!$I$54-'Retirement Planning'!$I$61)&gt;'Retirement Planning'!$J$58,(SUM(Z181:Z192)-'Retirement Planning'!$I$54-'Retirement Planning'!$I$61-'Retirement Planning'!$J$58)*'Retirement Planning'!$I$59+'Retirement Planning'!$K$58,IF((SUM(Z181:Z192)-'Retirement Planning'!$I$54-'Retirement Planning'!$I$61)&gt;'Retirement Planning'!$J$57,(SUM(Z181:Z192)-'Retirement Planning'!$I$54-'Retirement Planning'!$I$61-'Retirement Planning'!$J$57)*'Retirement Planning'!$I$58+'Retirement Planning'!$K$57,IF((SUM(Z181:Z192)-'Retirement Planning'!$I$54-'Retirement Planning'!$I$61)&gt;'Retirement Planning'!$J$56,(SUM(Z181:Z192)-'Retirement Planning'!$I$54-'Retirement Planning'!$I$61-'Retirement Planning'!$J$56)*'Retirement Planning'!$I$57+'Retirement Planning'!$K$56,(SUM(Z181:Z192)-'Retirement Planning'!$I$54-'Retirement Planning'!$I$61)*'Retirement Planning'!$I$56))))))/12,AA192)</f>
        <v>1979.5793378260626</v>
      </c>
      <c r="AB193" s="104">
        <f t="shared" ca="1" si="77"/>
        <v>0.22220328206813775</v>
      </c>
      <c r="AC193" s="7">
        <f>IF(B193&lt;65,'Retirement Planning'!$J$28,0)</f>
        <v>0</v>
      </c>
      <c r="AD193" s="7">
        <f>IF(B193&lt;65,'Retirement Planning'!$J$29/12,0)</f>
        <v>0</v>
      </c>
      <c r="AE193" s="22">
        <f>'Retirement Planning'!$J$31/12</f>
        <v>58.333333333333336</v>
      </c>
      <c r="AF193" s="22">
        <f>'Retirement Planning'!$J$32/12</f>
        <v>66.666666666666671</v>
      </c>
      <c r="AG193" s="7">
        <f>IF($B193&gt;64.9,'Retirement Planning'!$J$39/12,0)</f>
        <v>183.33333333333334</v>
      </c>
      <c r="AH193" s="7">
        <f>IF($B193&gt;64.9,'Retirement Planning'!$J$40/12,0)</f>
        <v>258.33333333333331</v>
      </c>
      <c r="AI193" s="7">
        <f>IF($B193&gt;64.9,'Retirement Planning'!$J$41/12,0)</f>
        <v>558.33333333333337</v>
      </c>
      <c r="AJ193" s="7">
        <f t="shared" ca="1" si="59"/>
        <v>316.66666666666663</v>
      </c>
      <c r="AK193" s="3" t="str">
        <f t="shared" ca="1" si="60"/>
        <v>N/A</v>
      </c>
      <c r="AL193" s="6" t="str">
        <f t="shared" ca="1" si="61"/>
        <v>N/A</v>
      </c>
      <c r="AM193" s="7">
        <f t="shared" ca="1" si="62"/>
        <v>1.0231815394945443E-12</v>
      </c>
      <c r="AN193" s="7">
        <f t="shared" ca="1" si="63"/>
        <v>11802.20006614404</v>
      </c>
      <c r="AO193" s="7">
        <f t="shared" si="64"/>
        <v>1125</v>
      </c>
    </row>
    <row r="194" spans="1:41" x14ac:dyDescent="0.2">
      <c r="A194">
        <f t="shared" si="65"/>
        <v>50</v>
      </c>
      <c r="B194" s="5">
        <f t="shared" si="66"/>
        <v>71.599999999999994</v>
      </c>
      <c r="C194" s="56">
        <f t="shared" si="67"/>
        <v>52018</v>
      </c>
      <c r="D194" s="57">
        <f ca="1">IF(AND(B193&lt;59.5,OR(B194&gt;59.5,B194=59.5)),(D193-E193+J193-K193)*(1+'Retirement Planning'!$J$23/12),(D193-E193)*(1+'Retirement Planning'!$J$23/12))</f>
        <v>402128.18363431178</v>
      </c>
      <c r="E194" s="58">
        <f t="shared" ca="1" si="54"/>
        <v>1127.9707267863778</v>
      </c>
      <c r="F194" s="57">
        <f ca="1">IF(AND(OR(B194&gt;59.5,B194=59.5),B193&lt;59.5),(F193-G193+L193-M193+N193-O193)*(1+'Retirement Planning'!$J$23/12),(F193-G193)*(1+'Retirement Planning'!$J$23/12))</f>
        <v>1342045.3728323439</v>
      </c>
      <c r="G194" s="58">
        <f ca="1">IF(AND($B$10&lt;55,B194&lt;59.5),'Retirement Planning'!$J$25,IF(OR(B194&gt;59.5,B194=59.5),MAX(0,MIN(F194,IF(D194&lt;2500,((Y194+AJ194+AA194))-X194,((Y194+AJ194+AA194)*'Retirement Planning'!$J$44)-X194))),0))</f>
        <v>7691.432053576671</v>
      </c>
      <c r="H194" s="255">
        <f ca="1">IF(MONTH(C194)=1,IF(B194&gt;69.5,F194/(INDEX('Retirement Planning'!D$1:D$264,(160+INT(B194))))/12,0),IF(F194=0,0,H193))</f>
        <v>6536.4124615902838</v>
      </c>
      <c r="I194" s="262">
        <f t="shared" ca="1" si="55"/>
        <v>0</v>
      </c>
      <c r="J194" s="254">
        <f ca="1">IF(AND(B193&lt;59.5,OR(B194=59.5,B194&gt;59.5)),0,(J193-K193)*(1+'Retirement Planning'!$J$23/12))</f>
        <v>0</v>
      </c>
      <c r="K194" s="58">
        <f t="shared" ca="1" si="56"/>
        <v>0</v>
      </c>
      <c r="L194" s="57">
        <f>IF(AND(OR(B194&gt;59.5,B194=59.5),B193&lt;59.5),0,(L193-M193)*(1+'Retirement Planning'!$J$23/12))</f>
        <v>0</v>
      </c>
      <c r="M194" s="59">
        <f>IF(AND($B$10&lt;55,B194&lt;59.5),0,IF(B194&lt;59.5,MAX(0,MIN((($Y194+$AJ194+AA194)*'Retirement Planning'!$J$44)-$G194-$X194,L194)),0))</f>
        <v>0</v>
      </c>
      <c r="N194" s="57">
        <f ca="1">(N193-O193)*(1+'Retirement Planning'!$J$23/12)</f>
        <v>0</v>
      </c>
      <c r="O194" s="59">
        <f ca="1">IF(B194&gt;59.5,MAX(0,MIN((AA194+$Y194+$AJ194)*(IF(D194&lt;(MIN(E182:E193)+1),1,'Retirement Planning'!$J$44))-M194-$G194-$X194-(IF(D194&lt;(MIN(E182:E193)+1),D194,0)),N194)),0)</f>
        <v>0</v>
      </c>
      <c r="P194" s="57">
        <f t="shared" si="68"/>
        <v>0</v>
      </c>
      <c r="Q194" s="58">
        <f t="shared" si="69"/>
        <v>0</v>
      </c>
      <c r="R194" s="57">
        <f ca="1">(R193-S193-T193)*(1+'Retirement Planning'!$J$23/12)</f>
        <v>437621.9114191166</v>
      </c>
      <c r="S194" s="58">
        <f t="shared" ca="1" si="70"/>
        <v>808.33333333333337</v>
      </c>
      <c r="T194" s="273">
        <f t="shared" ca="1" si="57"/>
        <v>1.5916157281026244E-12</v>
      </c>
      <c r="U194" s="57">
        <f ca="1">(U193-V193)*(1+'Retirement Planning'!$J$23/12)</f>
        <v>333441.0592289397</v>
      </c>
      <c r="V194" s="24">
        <f ca="1">IF(AND($B$10&lt;55,B194&lt;59.5),MIN(U194,MAX(0,(Y194+AA194+AJ194-G194)*'Retirement Planning'!$J$45)),IF(B194&lt;59.5,(MIN(U194,MAX(0,((Y194+AA194+AJ194)-G194-M194)*'Retirement Planning'!$J$45))),MIN(U194,MAX(0,(Y194+AA194+AJ194-G194-M194-K194-X194)*'Retirement Planning'!$J$45))))</f>
        <v>960.86395244765583</v>
      </c>
      <c r="W194" s="7">
        <f t="shared" ca="1" si="58"/>
        <v>2515236.5271147117</v>
      </c>
      <c r="X194" s="7">
        <f>(IF(B194&gt;'Retirement Planning'!$J$34,IF('Retirement Planning'!$J$34=70,'Retirement Planning'!$J$37/12,IF('Retirement Planning'!$J$34=67,'Retirement Planning'!$J$36/12,'Retirement Planning'!$J$35/12)),0))*'Retirement Planning'!$J$38</f>
        <v>1213.6000000000001</v>
      </c>
      <c r="Y194" s="7">
        <f ca="1">'Retirement Planning'!$F$35*((1+'Retirement Planning'!$J$24)^(YEAR('Projected Retirement Drawdown'!C194)-YEAR(TODAY())))</f>
        <v>8697.6207283179774</v>
      </c>
      <c r="Z194" s="7">
        <f ca="1">G194+M194+O194+0.85*X194+V194*'Retirement Planning'!$J$46+T194</f>
        <v>9251.4672274228833</v>
      </c>
      <c r="AA194" s="7">
        <f ca="1">IF(MONTH(C194)=1,(((MIN(MAX(0,((SUM(Z182:Z193)-'Retirement Planning'!$I$53-'Retirement Planning'!$I$54)-'Retirement Planning'!$J$51)*'Retirement Planning'!$I$52))))+(MIN(MAX(0,((SUM(Z182:Z193)-'Retirement Planning'!$I$53-'Retirement Planning'!$I$54)-'Retirement Planning'!$J$50)*'Retirement Planning'!$I$51),('Retirement Planning'!$J$51-'Retirement Planning'!$J$50)*'Retirement Planning'!$I$51))+(MIN(MAX(0,((SUM(Z182:Z193)-'Retirement Planning'!$I$53-'Retirement Planning'!$I$54)-'Retirement Planning'!$J$49)*'Retirement Planning'!$I$50),('Retirement Planning'!$J$50-'Retirement Planning'!$J$49)*'Retirement Planning'!$I$50)+MIN(MAX(0,((SUM(Z182:Z193)-'Retirement Planning'!$I$53-'Retirement Planning'!$I$54)-'Retirement Planning'!$J$48)*'Retirement Planning'!$I$49),('Retirement Planning'!$J$49-'Retirement Planning'!$J$48)*'Retirement Planning'!$I$49)+MIN(((SUM(Z182:Z193)-'Retirement Planning'!$I$53-'Retirement Planning'!$I$54))*'Retirement Planning'!$I$48,('Retirement Planning'!$J$48)*'Retirement Planning'!$I$48))+(IF((SUM(Z182:Z193)-'Retirement Planning'!$I$54-'Retirement Planning'!$I$61)&gt;'Retirement Planning'!$J$59,(SUM(Z182:Z193)-'Retirement Planning'!$I$54-'Retirement Planning'!$I$61-'Retirement Planning'!$J$59)*'Retirement Planning'!$I$60+'Retirement Planning'!$K$59,IF((SUM(Z182:Z193)-'Retirement Planning'!$I$54-'Retirement Planning'!$I$61)&gt;'Retirement Planning'!$J$58,(SUM(Z182:Z193)-'Retirement Planning'!$I$54-'Retirement Planning'!$I$61-'Retirement Planning'!$J$58)*'Retirement Planning'!$I$59+'Retirement Planning'!$K$58,IF((SUM(Z182:Z193)-'Retirement Planning'!$I$54-'Retirement Planning'!$I$61)&gt;'Retirement Planning'!$J$57,(SUM(Z182:Z193)-'Retirement Planning'!$I$54-'Retirement Planning'!$I$61-'Retirement Planning'!$J$57)*'Retirement Planning'!$I$58+'Retirement Planning'!$K$57,IF((SUM(Z182:Z193)-'Retirement Planning'!$I$54-'Retirement Planning'!$I$61)&gt;'Retirement Planning'!$J$56,(SUM(Z182:Z193)-'Retirement Planning'!$I$54-'Retirement Planning'!$I$61-'Retirement Planning'!$J$56)*'Retirement Planning'!$I$57+'Retirement Planning'!$K$56,(SUM(Z182:Z193)-'Retirement Planning'!$I$54-'Retirement Planning'!$I$61)*'Retirement Planning'!$I$56))))))/12,AA193)</f>
        <v>1979.5793378260626</v>
      </c>
      <c r="AB194" s="104">
        <f t="shared" ca="1" si="77"/>
        <v>0.22220328206813775</v>
      </c>
      <c r="AC194" s="7">
        <f>IF(B194&lt;65,'Retirement Planning'!$J$28,0)</f>
        <v>0</v>
      </c>
      <c r="AD194" s="7">
        <f>IF(B194&lt;65,'Retirement Planning'!$J$29/12,0)</f>
        <v>0</v>
      </c>
      <c r="AE194" s="22">
        <f>'Retirement Planning'!$J$31/12</f>
        <v>58.333333333333336</v>
      </c>
      <c r="AF194" s="22">
        <f>'Retirement Planning'!$J$32/12</f>
        <v>66.666666666666671</v>
      </c>
      <c r="AG194" s="7">
        <f>IF($B194&gt;64.9,'Retirement Planning'!$J$39/12,0)</f>
        <v>183.33333333333334</v>
      </c>
      <c r="AH194" s="7">
        <f>IF($B194&gt;64.9,'Retirement Planning'!$J$40/12,0)</f>
        <v>258.33333333333331</v>
      </c>
      <c r="AI194" s="7">
        <f>IF($B194&gt;64.9,'Retirement Planning'!$J$41/12,0)</f>
        <v>558.33333333333337</v>
      </c>
      <c r="AJ194" s="7">
        <f t="shared" ca="1" si="59"/>
        <v>316.66666666666663</v>
      </c>
      <c r="AK194" s="3" t="str">
        <f t="shared" ca="1" si="60"/>
        <v>N/A</v>
      </c>
      <c r="AL194" s="6" t="str">
        <f t="shared" ca="1" si="61"/>
        <v>N/A</v>
      </c>
      <c r="AM194" s="7">
        <f t="shared" ca="1" si="62"/>
        <v>1.0231815394945443E-12</v>
      </c>
      <c r="AN194" s="7">
        <f t="shared" ca="1" si="63"/>
        <v>11802.20006614404</v>
      </c>
      <c r="AO194" s="7">
        <f t="shared" si="64"/>
        <v>1125</v>
      </c>
    </row>
    <row r="195" spans="1:41" x14ac:dyDescent="0.2">
      <c r="A195">
        <f t="shared" si="65"/>
        <v>50</v>
      </c>
      <c r="B195" s="5">
        <f t="shared" si="66"/>
        <v>71.7</v>
      </c>
      <c r="C195" s="56">
        <f t="shared" si="67"/>
        <v>52048</v>
      </c>
      <c r="D195" s="57">
        <f ca="1">IF(AND(B194&lt;59.5,OR(B195&gt;59.5,B195=59.5)),(D194-E194+J194-K194)*(1+'Retirement Planning'!$J$23/12),(D194-E194)*(1+'Retirement Planning'!$J$23/12))</f>
        <v>403840.63108228706</v>
      </c>
      <c r="E195" s="58">
        <f t="shared" ca="1" si="54"/>
        <v>1127.9707267863778</v>
      </c>
      <c r="F195" s="57">
        <f ca="1">IF(AND(OR(B195&gt;59.5,B195=59.5),B194&lt;59.5),(F194-G194+L194-M194+N194-O194)*(1+'Retirement Planning'!$J$23/12),(F194-G194)*(1+'Retirement Planning'!$J$23/12))</f>
        <v>1343805.61452595</v>
      </c>
      <c r="G195" s="58">
        <f ca="1">IF(AND($B$10&lt;55,B195&lt;59.5),'Retirement Planning'!$J$25,IF(OR(B195&gt;59.5,B195=59.5),MAX(0,MIN(F195,IF(D195&lt;2500,((Y195+AJ195+AA195))-X195,((Y195+AJ195+AA195)*'Retirement Planning'!$J$44)-X195))),0))</f>
        <v>7691.432053576671</v>
      </c>
      <c r="H195" s="255">
        <f ca="1">IF(MONTH(C195)=1,IF(B195&gt;69.5,F195/(INDEX('Retirement Planning'!D$1:D$264,(160+INT(B195))))/12,0),IF(F195=0,0,H194))</f>
        <v>6536.4124615902838</v>
      </c>
      <c r="I195" s="262">
        <f t="shared" ca="1" si="55"/>
        <v>0</v>
      </c>
      <c r="J195" s="254">
        <f ca="1">IF(AND(B194&lt;59.5,OR(B195=59.5,B195&gt;59.5)),0,(J194-K194)*(1+'Retirement Planning'!$J$23/12))</f>
        <v>0</v>
      </c>
      <c r="K195" s="58">
        <f t="shared" ca="1" si="56"/>
        <v>0</v>
      </c>
      <c r="L195" s="57">
        <f>IF(AND(OR(B195&gt;59.5,B195=59.5),B194&lt;59.5),0,(L194-M194)*(1+'Retirement Planning'!$J$23/12))</f>
        <v>0</v>
      </c>
      <c r="M195" s="59">
        <f>IF(AND($B$10&lt;55,B195&lt;59.5),0,IF(B195&lt;59.5,MAX(0,MIN((($Y195+$AJ195+AA195)*'Retirement Planning'!$J$44)-$G195-$X195,L195)),0))</f>
        <v>0</v>
      </c>
      <c r="N195" s="57">
        <f ca="1">(N194-O194)*(1+'Retirement Planning'!$J$23/12)</f>
        <v>0</v>
      </c>
      <c r="O195" s="59">
        <f ca="1">IF(B195&gt;59.5,MAX(0,MIN((AA195+$Y195+$AJ195)*(IF(D195&lt;(MIN(E183:E194)+1),1,'Retirement Planning'!$J$44))-M195-$G195-$X195-(IF(D195&lt;(MIN(E183:E194)+1),D195,0)),N195)),0)</f>
        <v>0</v>
      </c>
      <c r="P195" s="57">
        <f t="shared" si="68"/>
        <v>0</v>
      </c>
      <c r="Q195" s="58">
        <f t="shared" si="69"/>
        <v>0</v>
      </c>
      <c r="R195" s="57">
        <f ca="1">(R194-S194-T194)*(1+'Retirement Planning'!$J$23/12)</f>
        <v>439907.67426389089</v>
      </c>
      <c r="S195" s="58">
        <f t="shared" ca="1" si="70"/>
        <v>808.33333333333337</v>
      </c>
      <c r="T195" s="273">
        <f t="shared" ca="1" si="57"/>
        <v>1.5916157281026244E-12</v>
      </c>
      <c r="U195" s="57">
        <f ca="1">(U194-V194)*(1+'Retirement Planning'!$J$23/12)</f>
        <v>334835.26332636719</v>
      </c>
      <c r="V195" s="24">
        <f ca="1">IF(AND($B$10&lt;55,B195&lt;59.5),MIN(U195,MAX(0,(Y195+AA195+AJ195-G195)*'Retirement Planning'!$J$45)),IF(B195&lt;59.5,(MIN(U195,MAX(0,((Y195+AA195+AJ195)-G195-M195)*'Retirement Planning'!$J$45))),MIN(U195,MAX(0,(Y195+AA195+AJ195-G195-M195-K195-X195)*'Retirement Planning'!$J$45))))</f>
        <v>960.86395244765583</v>
      </c>
      <c r="W195" s="7">
        <f t="shared" ca="1" si="58"/>
        <v>2522389.1831984953</v>
      </c>
      <c r="X195" s="7">
        <f>(IF(B195&gt;'Retirement Planning'!$J$34,IF('Retirement Planning'!$J$34=70,'Retirement Planning'!$J$37/12,IF('Retirement Planning'!$J$34=67,'Retirement Planning'!$J$36/12,'Retirement Planning'!$J$35/12)),0))*'Retirement Planning'!$J$38</f>
        <v>1213.6000000000001</v>
      </c>
      <c r="Y195" s="7">
        <f ca="1">'Retirement Planning'!$F$35*((1+'Retirement Planning'!$J$24)^(YEAR('Projected Retirement Drawdown'!C195)-YEAR(TODAY())))</f>
        <v>8697.6207283179774</v>
      </c>
      <c r="Z195" s="7">
        <f ca="1">G195+M195+O195+0.85*X195+V195*'Retirement Planning'!$J$46+T195</f>
        <v>9251.4672274228833</v>
      </c>
      <c r="AA195" s="7">
        <f ca="1">IF(MONTH(C195)=1,(((MIN(MAX(0,((SUM(Z183:Z194)-'Retirement Planning'!$I$53-'Retirement Planning'!$I$54)-'Retirement Planning'!$J$51)*'Retirement Planning'!$I$52))))+(MIN(MAX(0,((SUM(Z183:Z194)-'Retirement Planning'!$I$53-'Retirement Planning'!$I$54)-'Retirement Planning'!$J$50)*'Retirement Planning'!$I$51),('Retirement Planning'!$J$51-'Retirement Planning'!$J$50)*'Retirement Planning'!$I$51))+(MIN(MAX(0,((SUM(Z183:Z194)-'Retirement Planning'!$I$53-'Retirement Planning'!$I$54)-'Retirement Planning'!$J$49)*'Retirement Planning'!$I$50),('Retirement Planning'!$J$50-'Retirement Planning'!$J$49)*'Retirement Planning'!$I$50)+MIN(MAX(0,((SUM(Z183:Z194)-'Retirement Planning'!$I$53-'Retirement Planning'!$I$54)-'Retirement Planning'!$J$48)*'Retirement Planning'!$I$49),('Retirement Planning'!$J$49-'Retirement Planning'!$J$48)*'Retirement Planning'!$I$49)+MIN(((SUM(Z183:Z194)-'Retirement Planning'!$I$53-'Retirement Planning'!$I$54))*'Retirement Planning'!$I$48,('Retirement Planning'!$J$48)*'Retirement Planning'!$I$48))+(IF((SUM(Z183:Z194)-'Retirement Planning'!$I$54-'Retirement Planning'!$I$61)&gt;'Retirement Planning'!$J$59,(SUM(Z183:Z194)-'Retirement Planning'!$I$54-'Retirement Planning'!$I$61-'Retirement Planning'!$J$59)*'Retirement Planning'!$I$60+'Retirement Planning'!$K$59,IF((SUM(Z183:Z194)-'Retirement Planning'!$I$54-'Retirement Planning'!$I$61)&gt;'Retirement Planning'!$J$58,(SUM(Z183:Z194)-'Retirement Planning'!$I$54-'Retirement Planning'!$I$61-'Retirement Planning'!$J$58)*'Retirement Planning'!$I$59+'Retirement Planning'!$K$58,IF((SUM(Z183:Z194)-'Retirement Planning'!$I$54-'Retirement Planning'!$I$61)&gt;'Retirement Planning'!$J$57,(SUM(Z183:Z194)-'Retirement Planning'!$I$54-'Retirement Planning'!$I$61-'Retirement Planning'!$J$57)*'Retirement Planning'!$I$58+'Retirement Planning'!$K$57,IF((SUM(Z183:Z194)-'Retirement Planning'!$I$54-'Retirement Planning'!$I$61)&gt;'Retirement Planning'!$J$56,(SUM(Z183:Z194)-'Retirement Planning'!$I$54-'Retirement Planning'!$I$61-'Retirement Planning'!$J$56)*'Retirement Planning'!$I$57+'Retirement Planning'!$K$56,(SUM(Z183:Z194)-'Retirement Planning'!$I$54-'Retirement Planning'!$I$61)*'Retirement Planning'!$I$56))))))/12,AA194)</f>
        <v>1979.5793378260626</v>
      </c>
      <c r="AB195" s="104">
        <f t="shared" ca="1" si="77"/>
        <v>0.22220328206813775</v>
      </c>
      <c r="AC195" s="7">
        <f>IF(B195&lt;65,'Retirement Planning'!$J$28,0)</f>
        <v>0</v>
      </c>
      <c r="AD195" s="7">
        <f>IF(B195&lt;65,'Retirement Planning'!$J$29/12,0)</f>
        <v>0</v>
      </c>
      <c r="AE195" s="22">
        <f>'Retirement Planning'!$J$31/12</f>
        <v>58.333333333333336</v>
      </c>
      <c r="AF195" s="22">
        <f>'Retirement Planning'!$J$32/12</f>
        <v>66.666666666666671</v>
      </c>
      <c r="AG195" s="7">
        <f>IF($B195&gt;64.9,'Retirement Planning'!$J$39/12,0)</f>
        <v>183.33333333333334</v>
      </c>
      <c r="AH195" s="7">
        <f>IF($B195&gt;64.9,'Retirement Planning'!$J$40/12,0)</f>
        <v>258.33333333333331</v>
      </c>
      <c r="AI195" s="7">
        <f>IF($B195&gt;64.9,'Retirement Planning'!$J$41/12,0)</f>
        <v>558.33333333333337</v>
      </c>
      <c r="AJ195" s="7">
        <f t="shared" ca="1" si="59"/>
        <v>316.66666666666663</v>
      </c>
      <c r="AK195" s="3" t="str">
        <f t="shared" ca="1" si="60"/>
        <v>N/A</v>
      </c>
      <c r="AL195" s="6" t="str">
        <f t="shared" ca="1" si="61"/>
        <v>N/A</v>
      </c>
      <c r="AM195" s="7">
        <f t="shared" ca="1" si="62"/>
        <v>1.0231815394945443E-12</v>
      </c>
      <c r="AN195" s="7">
        <f t="shared" ca="1" si="63"/>
        <v>11802.20006614404</v>
      </c>
      <c r="AO195" s="7">
        <f t="shared" si="64"/>
        <v>1125</v>
      </c>
    </row>
    <row r="196" spans="1:41" x14ac:dyDescent="0.2">
      <c r="A196">
        <f t="shared" si="65"/>
        <v>50</v>
      </c>
      <c r="B196" s="5">
        <f t="shared" si="66"/>
        <v>71.8</v>
      </c>
      <c r="C196" s="56">
        <f t="shared" si="67"/>
        <v>52079</v>
      </c>
      <c r="D196" s="57">
        <f ca="1">IF(AND(B195&lt;59.5,OR(B196&gt;59.5,B196=59.5)),(D195-E195+J195-K195)*(1+'Retirement Planning'!$J$23/12),(D195-E195)*(1+'Retirement Planning'!$J$23/12))</f>
        <v>405565.20836635219</v>
      </c>
      <c r="E196" s="58">
        <f t="shared" ca="1" si="54"/>
        <v>1127.9707267863778</v>
      </c>
      <c r="F196" s="57">
        <f ca="1">IF(AND(OR(B196&gt;59.5,B196=59.5),B195&lt;59.5),(F195-G195+L195-M195+N195-O195)*(1+'Retirement Planning'!$J$23/12),(F195-G195)*(1+'Retirement Planning'!$J$23/12))</f>
        <v>1345578.3245982192</v>
      </c>
      <c r="G196" s="58">
        <f ca="1">IF(AND($B$10&lt;55,B196&lt;59.5),'Retirement Planning'!$J$25,IF(OR(B196&gt;59.5,B196=59.5),MAX(0,MIN(F196,IF(D196&lt;2500,((Y196+AJ196+AA196))-X196,((Y196+AJ196+AA196)*'Retirement Planning'!$J$44)-X196))),0))</f>
        <v>7691.432053576671</v>
      </c>
      <c r="H196" s="255">
        <f ca="1">IF(MONTH(C196)=1,IF(B196&gt;69.5,F196/(INDEX('Retirement Planning'!D$1:D$264,(160+INT(B196))))/12,0),IF(F196=0,0,H195))</f>
        <v>6536.4124615902838</v>
      </c>
      <c r="I196" s="262">
        <f t="shared" ca="1" si="55"/>
        <v>0</v>
      </c>
      <c r="J196" s="254">
        <f ca="1">IF(AND(B195&lt;59.5,OR(B196=59.5,B196&gt;59.5)),0,(J195-K195)*(1+'Retirement Planning'!$J$23/12))</f>
        <v>0</v>
      </c>
      <c r="K196" s="58">
        <f t="shared" ca="1" si="56"/>
        <v>0</v>
      </c>
      <c r="L196" s="57">
        <f>IF(AND(OR(B196&gt;59.5,B196=59.5),B195&lt;59.5),0,(L195-M195)*(1+'Retirement Planning'!$J$23/12))</f>
        <v>0</v>
      </c>
      <c r="M196" s="59">
        <f>IF(AND($B$10&lt;55,B196&lt;59.5),0,IF(B196&lt;59.5,MAX(0,MIN((($Y196+$AJ196+AA196)*'Retirement Planning'!$J$44)-$G196-$X196,L196)),0))</f>
        <v>0</v>
      </c>
      <c r="N196" s="57">
        <f ca="1">(N195-O195)*(1+'Retirement Planning'!$J$23/12)</f>
        <v>0</v>
      </c>
      <c r="O196" s="59">
        <f ca="1">IF(B196&gt;59.5,MAX(0,MIN((AA196+$Y196+$AJ196)*(IF(D196&lt;(MIN(E184:E195)+1),1,'Retirement Planning'!$J$44))-M196-$G196-$X196-(IF(D196&lt;(MIN(E184:E195)+1),D196,0)),N196)),0)</f>
        <v>0</v>
      </c>
      <c r="P196" s="57">
        <f t="shared" si="68"/>
        <v>0</v>
      </c>
      <c r="Q196" s="58">
        <f t="shared" si="69"/>
        <v>0</v>
      </c>
      <c r="R196" s="57">
        <f ca="1">(R195-S195-T195)*(1+'Retirement Planning'!$J$23/12)</f>
        <v>442209.62792881567</v>
      </c>
      <c r="S196" s="58">
        <f t="shared" ca="1" si="70"/>
        <v>808.33333333333337</v>
      </c>
      <c r="T196" s="273">
        <f t="shared" ca="1" si="57"/>
        <v>1.5916157281026244E-12</v>
      </c>
      <c r="U196" s="57">
        <f ca="1">(U195-V195)*(1+'Retirement Planning'!$J$23/12)</f>
        <v>336239.34303615143</v>
      </c>
      <c r="V196" s="24">
        <f ca="1">IF(AND($B$10&lt;55,B196&lt;59.5),MIN(U196,MAX(0,(Y196+AA196+AJ196-G196)*'Retirement Planning'!$J$45)),IF(B196&lt;59.5,(MIN(U196,MAX(0,((Y196+AA196+AJ196)-G196-M196)*'Retirement Planning'!$J$45))),MIN(U196,MAX(0,(Y196+AA196+AJ196-G196-M196-K196-X196)*'Retirement Planning'!$J$45))))</f>
        <v>960.86395244765583</v>
      </c>
      <c r="W196" s="7">
        <f t="shared" ca="1" si="58"/>
        <v>2529592.5039295387</v>
      </c>
      <c r="X196" s="7">
        <f>(IF(B196&gt;'Retirement Planning'!$J$34,IF('Retirement Planning'!$J$34=70,'Retirement Planning'!$J$37/12,IF('Retirement Planning'!$J$34=67,'Retirement Planning'!$J$36/12,'Retirement Planning'!$J$35/12)),0))*'Retirement Planning'!$J$38</f>
        <v>1213.6000000000001</v>
      </c>
      <c r="Y196" s="7">
        <f ca="1">'Retirement Planning'!$F$35*((1+'Retirement Planning'!$J$24)^(YEAR('Projected Retirement Drawdown'!C196)-YEAR(TODAY())))</f>
        <v>8697.6207283179774</v>
      </c>
      <c r="Z196" s="7">
        <f ca="1">G196+M196+O196+0.85*X196+V196*'Retirement Planning'!$J$46+T196</f>
        <v>9251.4672274228833</v>
      </c>
      <c r="AA196" s="7">
        <f ca="1">IF(MONTH(C196)=1,(((MIN(MAX(0,((SUM(Z184:Z195)-'Retirement Planning'!$I$53-'Retirement Planning'!$I$54)-'Retirement Planning'!$J$51)*'Retirement Planning'!$I$52))))+(MIN(MAX(0,((SUM(Z184:Z195)-'Retirement Planning'!$I$53-'Retirement Planning'!$I$54)-'Retirement Planning'!$J$50)*'Retirement Planning'!$I$51),('Retirement Planning'!$J$51-'Retirement Planning'!$J$50)*'Retirement Planning'!$I$51))+(MIN(MAX(0,((SUM(Z184:Z195)-'Retirement Planning'!$I$53-'Retirement Planning'!$I$54)-'Retirement Planning'!$J$49)*'Retirement Planning'!$I$50),('Retirement Planning'!$J$50-'Retirement Planning'!$J$49)*'Retirement Planning'!$I$50)+MIN(MAX(0,((SUM(Z184:Z195)-'Retirement Planning'!$I$53-'Retirement Planning'!$I$54)-'Retirement Planning'!$J$48)*'Retirement Planning'!$I$49),('Retirement Planning'!$J$49-'Retirement Planning'!$J$48)*'Retirement Planning'!$I$49)+MIN(((SUM(Z184:Z195)-'Retirement Planning'!$I$53-'Retirement Planning'!$I$54))*'Retirement Planning'!$I$48,('Retirement Planning'!$J$48)*'Retirement Planning'!$I$48))+(IF((SUM(Z184:Z195)-'Retirement Planning'!$I$54-'Retirement Planning'!$I$61)&gt;'Retirement Planning'!$J$59,(SUM(Z184:Z195)-'Retirement Planning'!$I$54-'Retirement Planning'!$I$61-'Retirement Planning'!$J$59)*'Retirement Planning'!$I$60+'Retirement Planning'!$K$59,IF((SUM(Z184:Z195)-'Retirement Planning'!$I$54-'Retirement Planning'!$I$61)&gt;'Retirement Planning'!$J$58,(SUM(Z184:Z195)-'Retirement Planning'!$I$54-'Retirement Planning'!$I$61-'Retirement Planning'!$J$58)*'Retirement Planning'!$I$59+'Retirement Planning'!$K$58,IF((SUM(Z184:Z195)-'Retirement Planning'!$I$54-'Retirement Planning'!$I$61)&gt;'Retirement Planning'!$J$57,(SUM(Z184:Z195)-'Retirement Planning'!$I$54-'Retirement Planning'!$I$61-'Retirement Planning'!$J$57)*'Retirement Planning'!$I$58+'Retirement Planning'!$K$57,IF((SUM(Z184:Z195)-'Retirement Planning'!$I$54-'Retirement Planning'!$I$61)&gt;'Retirement Planning'!$J$56,(SUM(Z184:Z195)-'Retirement Planning'!$I$54-'Retirement Planning'!$I$61-'Retirement Planning'!$J$56)*'Retirement Planning'!$I$57+'Retirement Planning'!$K$56,(SUM(Z184:Z195)-'Retirement Planning'!$I$54-'Retirement Planning'!$I$61)*'Retirement Planning'!$I$56))))))/12,AA195)</f>
        <v>1979.5793378260626</v>
      </c>
      <c r="AB196" s="104">
        <f t="shared" ca="1" si="77"/>
        <v>0.22220328206813775</v>
      </c>
      <c r="AC196" s="7">
        <f>IF(B196&lt;65,'Retirement Planning'!$J$28,0)</f>
        <v>0</v>
      </c>
      <c r="AD196" s="7">
        <f>IF(B196&lt;65,'Retirement Planning'!$J$29/12,0)</f>
        <v>0</v>
      </c>
      <c r="AE196" s="22">
        <f>'Retirement Planning'!$J$31/12</f>
        <v>58.333333333333336</v>
      </c>
      <c r="AF196" s="22">
        <f>'Retirement Planning'!$J$32/12</f>
        <v>66.666666666666671</v>
      </c>
      <c r="AG196" s="7">
        <f>IF($B196&gt;64.9,'Retirement Planning'!$J$39/12,0)</f>
        <v>183.33333333333334</v>
      </c>
      <c r="AH196" s="7">
        <f>IF($B196&gt;64.9,'Retirement Planning'!$J$40/12,0)</f>
        <v>258.33333333333331</v>
      </c>
      <c r="AI196" s="7">
        <f>IF($B196&gt;64.9,'Retirement Planning'!$J$41/12,0)</f>
        <v>558.33333333333337</v>
      </c>
      <c r="AJ196" s="7">
        <f t="shared" ca="1" si="59"/>
        <v>316.66666666666663</v>
      </c>
      <c r="AK196" s="3" t="str">
        <f t="shared" ca="1" si="60"/>
        <v>N/A</v>
      </c>
      <c r="AL196" s="6" t="str">
        <f t="shared" ca="1" si="61"/>
        <v>N/A</v>
      </c>
      <c r="AM196" s="7">
        <f t="shared" ca="1" si="62"/>
        <v>1.0231815394945443E-12</v>
      </c>
      <c r="AN196" s="7">
        <f t="shared" ca="1" si="63"/>
        <v>11802.20006614404</v>
      </c>
      <c r="AO196" s="7">
        <f t="shared" si="64"/>
        <v>1125</v>
      </c>
    </row>
    <row r="197" spans="1:41" x14ac:dyDescent="0.2">
      <c r="A197">
        <f t="shared" si="65"/>
        <v>50</v>
      </c>
      <c r="B197" s="5">
        <f t="shared" si="66"/>
        <v>71.900000000000006</v>
      </c>
      <c r="C197" s="56">
        <f t="shared" si="67"/>
        <v>52110</v>
      </c>
      <c r="D197" s="57">
        <f ca="1">IF(AND(B196&lt;59.5,OR(B197&gt;59.5,B197=59.5)),(D196-E196+J196-K196)*(1+'Retirement Planning'!$J$23/12),(D196-E196)*(1+'Retirement Planning'!$J$23/12))</f>
        <v>407302.00140617945</v>
      </c>
      <c r="E197" s="58">
        <f t="shared" ca="1" si="54"/>
        <v>1127.9707267863778</v>
      </c>
      <c r="F197" s="57">
        <f ca="1">IF(AND(OR(B197&gt;59.5,B197=59.5),B196&lt;59.5),(F196-G196+L196-M196+N196-O196)*(1+'Retirement Planning'!$J$23/12),(F196-G196)*(1+'Retirement Planning'!$J$23/12))</f>
        <v>1347363.5913668338</v>
      </c>
      <c r="G197" s="58">
        <f ca="1">IF(AND($B$10&lt;55,B197&lt;59.5),'Retirement Planning'!$J$25,IF(OR(B197&gt;59.5,B197=59.5),MAX(0,MIN(F197,IF(D197&lt;2500,((Y197+AJ197+AA197))-X197,((Y197+AJ197+AA197)*'Retirement Planning'!$J$44)-X197))),0))</f>
        <v>7691.432053576671</v>
      </c>
      <c r="H197" s="255">
        <f ca="1">IF(MONTH(C197)=1,IF(B197&gt;69.5,F197/(INDEX('Retirement Planning'!D$1:D$264,(160+INT(B197))))/12,0),IF(F197=0,0,H196))</f>
        <v>6536.4124615902838</v>
      </c>
      <c r="I197" s="262">
        <f t="shared" ca="1" si="55"/>
        <v>0</v>
      </c>
      <c r="J197" s="254">
        <f ca="1">IF(AND(B196&lt;59.5,OR(B197=59.5,B197&gt;59.5)),0,(J196-K196)*(1+'Retirement Planning'!$J$23/12))</f>
        <v>0</v>
      </c>
      <c r="K197" s="58">
        <f t="shared" ca="1" si="56"/>
        <v>0</v>
      </c>
      <c r="L197" s="57">
        <f>IF(AND(OR(B197&gt;59.5,B197=59.5),B196&lt;59.5),0,(L196-M196)*(1+'Retirement Planning'!$J$23/12))</f>
        <v>0</v>
      </c>
      <c r="M197" s="59">
        <f>IF(AND($B$10&lt;55,B197&lt;59.5),0,IF(B197&lt;59.5,MAX(0,MIN((($Y197+$AJ197+AA197)*'Retirement Planning'!$J$44)-$G197-$X197,L197)),0))</f>
        <v>0</v>
      </c>
      <c r="N197" s="57">
        <f ca="1">(N196-O196)*(1+'Retirement Planning'!$J$23/12)</f>
        <v>0</v>
      </c>
      <c r="O197" s="59">
        <f ca="1">IF(B197&gt;59.5,MAX(0,MIN((AA197+$Y197+$AJ197)*(IF(D197&lt;(MIN(E185:E196)+1),1,'Retirement Planning'!$J$44))-M197-$G197-$X197-(IF(D197&lt;(MIN(E185:E196)+1),D197,0)),N197)),0)</f>
        <v>0</v>
      </c>
      <c r="P197" s="57">
        <f t="shared" si="68"/>
        <v>0</v>
      </c>
      <c r="Q197" s="58">
        <f t="shared" si="69"/>
        <v>0</v>
      </c>
      <c r="R197" s="57">
        <f ca="1">(R196-S196-T196)*(1+'Retirement Planning'!$J$23/12)</f>
        <v>444527.88709886704</v>
      </c>
      <c r="S197" s="58">
        <f t="shared" ca="1" si="70"/>
        <v>808.33333333333337</v>
      </c>
      <c r="T197" s="273">
        <f t="shared" ca="1" si="57"/>
        <v>1.5916157281026244E-12</v>
      </c>
      <c r="U197" s="57">
        <f ca="1">(U196-V196)*(1+'Retirement Planning'!$J$23/12)</f>
        <v>337653.36831054668</v>
      </c>
      <c r="V197" s="24">
        <f ca="1">IF(AND($B$10&lt;55,B197&lt;59.5),MIN(U197,MAX(0,(Y197+AA197+AJ197-G197)*'Retirement Planning'!$J$45)),IF(B197&lt;59.5,(MIN(U197,MAX(0,((Y197+AA197+AJ197)-G197-M197)*'Retirement Planning'!$J$45))),MIN(U197,MAX(0,(Y197+AA197+AJ197-G197-M197-K197-X197)*'Retirement Planning'!$J$45))))</f>
        <v>960.86395244765583</v>
      </c>
      <c r="W197" s="7">
        <f t="shared" ca="1" si="58"/>
        <v>2536846.8481824268</v>
      </c>
      <c r="X197" s="7">
        <f>(IF(B197&gt;'Retirement Planning'!$J$34,IF('Retirement Planning'!$J$34=70,'Retirement Planning'!$J$37/12,IF('Retirement Planning'!$J$34=67,'Retirement Planning'!$J$36/12,'Retirement Planning'!$J$35/12)),0))*'Retirement Planning'!$J$38</f>
        <v>1213.6000000000001</v>
      </c>
      <c r="Y197" s="7">
        <f ca="1">'Retirement Planning'!$F$35*((1+'Retirement Planning'!$J$24)^(YEAR('Projected Retirement Drawdown'!C197)-YEAR(TODAY())))</f>
        <v>8697.6207283179774</v>
      </c>
      <c r="Z197" s="7">
        <f ca="1">G197+M197+O197+0.85*X197+V197*'Retirement Planning'!$J$46+T197</f>
        <v>9251.4672274228833</v>
      </c>
      <c r="AA197" s="7">
        <f ca="1">IF(MONTH(C197)=1,(((MIN(MAX(0,((SUM(Z185:Z196)-'Retirement Planning'!$I$53-'Retirement Planning'!$I$54)-'Retirement Planning'!$J$51)*'Retirement Planning'!$I$52))))+(MIN(MAX(0,((SUM(Z185:Z196)-'Retirement Planning'!$I$53-'Retirement Planning'!$I$54)-'Retirement Planning'!$J$50)*'Retirement Planning'!$I$51),('Retirement Planning'!$J$51-'Retirement Planning'!$J$50)*'Retirement Planning'!$I$51))+(MIN(MAX(0,((SUM(Z185:Z196)-'Retirement Planning'!$I$53-'Retirement Planning'!$I$54)-'Retirement Planning'!$J$49)*'Retirement Planning'!$I$50),('Retirement Planning'!$J$50-'Retirement Planning'!$J$49)*'Retirement Planning'!$I$50)+MIN(MAX(0,((SUM(Z185:Z196)-'Retirement Planning'!$I$53-'Retirement Planning'!$I$54)-'Retirement Planning'!$J$48)*'Retirement Planning'!$I$49),('Retirement Planning'!$J$49-'Retirement Planning'!$J$48)*'Retirement Planning'!$I$49)+MIN(((SUM(Z185:Z196)-'Retirement Planning'!$I$53-'Retirement Planning'!$I$54))*'Retirement Planning'!$I$48,('Retirement Planning'!$J$48)*'Retirement Planning'!$I$48))+(IF((SUM(Z185:Z196)-'Retirement Planning'!$I$54-'Retirement Planning'!$I$61)&gt;'Retirement Planning'!$J$59,(SUM(Z185:Z196)-'Retirement Planning'!$I$54-'Retirement Planning'!$I$61-'Retirement Planning'!$J$59)*'Retirement Planning'!$I$60+'Retirement Planning'!$K$59,IF((SUM(Z185:Z196)-'Retirement Planning'!$I$54-'Retirement Planning'!$I$61)&gt;'Retirement Planning'!$J$58,(SUM(Z185:Z196)-'Retirement Planning'!$I$54-'Retirement Planning'!$I$61-'Retirement Planning'!$J$58)*'Retirement Planning'!$I$59+'Retirement Planning'!$K$58,IF((SUM(Z185:Z196)-'Retirement Planning'!$I$54-'Retirement Planning'!$I$61)&gt;'Retirement Planning'!$J$57,(SUM(Z185:Z196)-'Retirement Planning'!$I$54-'Retirement Planning'!$I$61-'Retirement Planning'!$J$57)*'Retirement Planning'!$I$58+'Retirement Planning'!$K$57,IF((SUM(Z185:Z196)-'Retirement Planning'!$I$54-'Retirement Planning'!$I$61)&gt;'Retirement Planning'!$J$56,(SUM(Z185:Z196)-'Retirement Planning'!$I$54-'Retirement Planning'!$I$61-'Retirement Planning'!$J$56)*'Retirement Planning'!$I$57+'Retirement Planning'!$K$56,(SUM(Z185:Z196)-'Retirement Planning'!$I$54-'Retirement Planning'!$I$61)*'Retirement Planning'!$I$56))))))/12,AA196)</f>
        <v>1979.5793378260626</v>
      </c>
      <c r="AB197" s="104">
        <f t="shared" ca="1" si="77"/>
        <v>0.22220328206813775</v>
      </c>
      <c r="AC197" s="7">
        <f>IF(B197&lt;65,'Retirement Planning'!$J$28,0)</f>
        <v>0</v>
      </c>
      <c r="AD197" s="7">
        <f>IF(B197&lt;65,'Retirement Planning'!$J$29/12,0)</f>
        <v>0</v>
      </c>
      <c r="AE197" s="22">
        <f>'Retirement Planning'!$J$31/12</f>
        <v>58.333333333333336</v>
      </c>
      <c r="AF197" s="22">
        <f>'Retirement Planning'!$J$32/12</f>
        <v>66.666666666666671</v>
      </c>
      <c r="AG197" s="7">
        <f>IF($B197&gt;64.9,'Retirement Planning'!$J$39/12,0)</f>
        <v>183.33333333333334</v>
      </c>
      <c r="AH197" s="7">
        <f>IF($B197&gt;64.9,'Retirement Planning'!$J$40/12,0)</f>
        <v>258.33333333333331</v>
      </c>
      <c r="AI197" s="7">
        <f>IF($B197&gt;64.9,'Retirement Planning'!$J$41/12,0)</f>
        <v>558.33333333333337</v>
      </c>
      <c r="AJ197" s="7">
        <f t="shared" ca="1" si="59"/>
        <v>316.66666666666663</v>
      </c>
      <c r="AK197" s="3" t="str">
        <f t="shared" ca="1" si="60"/>
        <v>N/A</v>
      </c>
      <c r="AL197" s="6" t="str">
        <f t="shared" ca="1" si="61"/>
        <v>N/A</v>
      </c>
      <c r="AM197" s="7">
        <f t="shared" ca="1" si="62"/>
        <v>1.0231815394945443E-12</v>
      </c>
      <c r="AN197" s="7">
        <f t="shared" ca="1" si="63"/>
        <v>11802.20006614404</v>
      </c>
      <c r="AO197" s="7">
        <f t="shared" si="64"/>
        <v>1125</v>
      </c>
    </row>
    <row r="198" spans="1:41" x14ac:dyDescent="0.2">
      <c r="A198">
        <f t="shared" si="65"/>
        <v>50</v>
      </c>
      <c r="B198" s="5">
        <f t="shared" si="66"/>
        <v>72</v>
      </c>
      <c r="C198" s="56">
        <f t="shared" si="67"/>
        <v>52140</v>
      </c>
      <c r="D198" s="57">
        <f ca="1">IF(AND(B197&lt;59.5,OR(B198&gt;59.5,B198=59.5)),(D197-E197+J197-K197)*(1+'Retirement Planning'!$J$23/12),(D197-E197)*(1+'Retirement Planning'!$J$23/12))</f>
        <v>409051.09673003881</v>
      </c>
      <c r="E198" s="58">
        <f t="shared" ca="1" si="54"/>
        <v>1127.9707267863778</v>
      </c>
      <c r="F198" s="57">
        <f ca="1">IF(AND(OR(B198&gt;59.5,B198=59.5),B197&lt;59.5),(F197-G197+L197-M197+N197-O197)*(1+'Retirement Planning'!$J$23/12),(F197-G197)*(1+'Retirement Planning'!$J$23/12))</f>
        <v>1349161.5037750592</v>
      </c>
      <c r="G198" s="58">
        <f ca="1">IF(AND($B$10&lt;55,B198&lt;59.5),'Retirement Planning'!$J$25,IF(OR(B198&gt;59.5,B198=59.5),MAX(0,MIN(F198,IF(D198&lt;2500,((Y198+AJ198+AA198))-X198,((Y198+AJ198+AA198)*'Retirement Planning'!$J$44)-X198))),0))</f>
        <v>7691.432053576671</v>
      </c>
      <c r="H198" s="255">
        <f ca="1">IF(MONTH(C198)=1,IF(B198&gt;69.5,F198/(INDEX('Retirement Planning'!D$1:D$264,(160+INT(B198))))/12,0),IF(F198=0,0,H197))</f>
        <v>6536.4124615902838</v>
      </c>
      <c r="I198" s="262">
        <f t="shared" ca="1" si="55"/>
        <v>0</v>
      </c>
      <c r="J198" s="254">
        <f ca="1">IF(AND(B197&lt;59.5,OR(B198=59.5,B198&gt;59.5)),0,(J197-K197)*(1+'Retirement Planning'!$J$23/12))</f>
        <v>0</v>
      </c>
      <c r="K198" s="58">
        <f t="shared" ca="1" si="56"/>
        <v>0</v>
      </c>
      <c r="L198" s="57">
        <f>IF(AND(OR(B198&gt;59.5,B198=59.5),B197&lt;59.5),0,(L197-M197)*(1+'Retirement Planning'!$J$23/12))</f>
        <v>0</v>
      </c>
      <c r="M198" s="59">
        <f>IF(AND($B$10&lt;55,B198&lt;59.5),0,IF(B198&lt;59.5,MAX(0,MIN((($Y198+$AJ198+AA198)*'Retirement Planning'!$J$44)-$G198-$X198,L198)),0))</f>
        <v>0</v>
      </c>
      <c r="N198" s="57">
        <f ca="1">(N197-O197)*(1+'Retirement Planning'!$J$23/12)</f>
        <v>0</v>
      </c>
      <c r="O198" s="59">
        <f ca="1">IF(B198&gt;59.5,MAX(0,MIN((AA198+$Y198+$AJ198)*(IF(D198&lt;(MIN(E186:E197)+1),1,'Retirement Planning'!$J$44))-M198-$G198-$X198-(IF(D198&lt;(MIN(E186:E197)+1),D198,0)),N198)),0)</f>
        <v>0</v>
      </c>
      <c r="P198" s="57">
        <f t="shared" si="68"/>
        <v>0</v>
      </c>
      <c r="Q198" s="58">
        <f t="shared" si="69"/>
        <v>0</v>
      </c>
      <c r="R198" s="57">
        <f ca="1">(R197-S197-T197)*(1+'Retirement Planning'!$J$23/12)</f>
        <v>446862.56727137294</v>
      </c>
      <c r="S198" s="58">
        <f t="shared" ca="1" si="70"/>
        <v>808.33333333333337</v>
      </c>
      <c r="T198" s="273">
        <f t="shared" ca="1" si="57"/>
        <v>1.5916157281026244E-12</v>
      </c>
      <c r="U198" s="57">
        <f ca="1">(U197-V197)*(1+'Retirement Planning'!$J$23/12)</f>
        <v>339077.4095973022</v>
      </c>
      <c r="V198" s="24">
        <f ca="1">IF(AND($B$10&lt;55,B198&lt;59.5),MIN(U198,MAX(0,(Y198+AA198+AJ198-G198)*'Retirement Planning'!$J$45)),IF(B198&lt;59.5,(MIN(U198,MAX(0,((Y198+AA198+AJ198)-G198-M198)*'Retirement Planning'!$J$45))),MIN(U198,MAX(0,(Y198+AA198+AJ198-G198-M198-K198-X198)*'Retirement Planning'!$J$45))))</f>
        <v>960.86395244765583</v>
      </c>
      <c r="W198" s="7">
        <f t="shared" ca="1" si="58"/>
        <v>2544152.5773737733</v>
      </c>
      <c r="X198" s="7">
        <f>(IF(B198&gt;'Retirement Planning'!$J$34,IF('Retirement Planning'!$J$34=70,'Retirement Planning'!$J$37/12,IF('Retirement Planning'!$J$34=67,'Retirement Planning'!$J$36/12,'Retirement Planning'!$J$35/12)),0))*'Retirement Planning'!$J$38</f>
        <v>1213.6000000000001</v>
      </c>
      <c r="Y198" s="7">
        <f ca="1">'Retirement Planning'!$F$35*((1+'Retirement Planning'!$J$24)^(YEAR('Projected Retirement Drawdown'!C198)-YEAR(TODAY())))</f>
        <v>8697.6207283179774</v>
      </c>
      <c r="Z198" s="7">
        <f ca="1">G198+M198+O198+0.85*X198+V198*'Retirement Planning'!$J$46+T198</f>
        <v>9251.4672274228833</v>
      </c>
      <c r="AA198" s="7">
        <f ca="1">IF(MONTH(C198)=1,(((MIN(MAX(0,((SUM(Z186:Z197)-'Retirement Planning'!$I$53-'Retirement Planning'!$I$54)-'Retirement Planning'!$J$51)*'Retirement Planning'!$I$52))))+(MIN(MAX(0,((SUM(Z186:Z197)-'Retirement Planning'!$I$53-'Retirement Planning'!$I$54)-'Retirement Planning'!$J$50)*'Retirement Planning'!$I$51),('Retirement Planning'!$J$51-'Retirement Planning'!$J$50)*'Retirement Planning'!$I$51))+(MIN(MAX(0,((SUM(Z186:Z197)-'Retirement Planning'!$I$53-'Retirement Planning'!$I$54)-'Retirement Planning'!$J$49)*'Retirement Planning'!$I$50),('Retirement Planning'!$J$50-'Retirement Planning'!$J$49)*'Retirement Planning'!$I$50)+MIN(MAX(0,((SUM(Z186:Z197)-'Retirement Planning'!$I$53-'Retirement Planning'!$I$54)-'Retirement Planning'!$J$48)*'Retirement Planning'!$I$49),('Retirement Planning'!$J$49-'Retirement Planning'!$J$48)*'Retirement Planning'!$I$49)+MIN(((SUM(Z186:Z197)-'Retirement Planning'!$I$53-'Retirement Planning'!$I$54))*'Retirement Planning'!$I$48,('Retirement Planning'!$J$48)*'Retirement Planning'!$I$48))+(IF((SUM(Z186:Z197)-'Retirement Planning'!$I$54-'Retirement Planning'!$I$61)&gt;'Retirement Planning'!$J$59,(SUM(Z186:Z197)-'Retirement Planning'!$I$54-'Retirement Planning'!$I$61-'Retirement Planning'!$J$59)*'Retirement Planning'!$I$60+'Retirement Planning'!$K$59,IF((SUM(Z186:Z197)-'Retirement Planning'!$I$54-'Retirement Planning'!$I$61)&gt;'Retirement Planning'!$J$58,(SUM(Z186:Z197)-'Retirement Planning'!$I$54-'Retirement Planning'!$I$61-'Retirement Planning'!$J$58)*'Retirement Planning'!$I$59+'Retirement Planning'!$K$58,IF((SUM(Z186:Z197)-'Retirement Planning'!$I$54-'Retirement Planning'!$I$61)&gt;'Retirement Planning'!$J$57,(SUM(Z186:Z197)-'Retirement Planning'!$I$54-'Retirement Planning'!$I$61-'Retirement Planning'!$J$57)*'Retirement Planning'!$I$58+'Retirement Planning'!$K$57,IF((SUM(Z186:Z197)-'Retirement Planning'!$I$54-'Retirement Planning'!$I$61)&gt;'Retirement Planning'!$J$56,(SUM(Z186:Z197)-'Retirement Planning'!$I$54-'Retirement Planning'!$I$61-'Retirement Planning'!$J$56)*'Retirement Planning'!$I$57+'Retirement Planning'!$K$56,(SUM(Z186:Z197)-'Retirement Planning'!$I$54-'Retirement Planning'!$I$61)*'Retirement Planning'!$I$56))))))/12,AA197)</f>
        <v>1979.5793378260626</v>
      </c>
      <c r="AB198" s="104">
        <f t="shared" ca="1" si="77"/>
        <v>0.22220328206813775</v>
      </c>
      <c r="AC198" s="7">
        <f>IF(B198&lt;65,'Retirement Planning'!$J$28,0)</f>
        <v>0</v>
      </c>
      <c r="AD198" s="7">
        <f>IF(B198&lt;65,'Retirement Planning'!$J$29/12,0)</f>
        <v>0</v>
      </c>
      <c r="AE198" s="22">
        <f>'Retirement Planning'!$J$31/12</f>
        <v>58.333333333333336</v>
      </c>
      <c r="AF198" s="22">
        <f>'Retirement Planning'!$J$32/12</f>
        <v>66.666666666666671</v>
      </c>
      <c r="AG198" s="7">
        <f>IF($B198&gt;64.9,'Retirement Planning'!$J$39/12,0)</f>
        <v>183.33333333333334</v>
      </c>
      <c r="AH198" s="7">
        <f>IF($B198&gt;64.9,'Retirement Planning'!$J$40/12,0)</f>
        <v>258.33333333333331</v>
      </c>
      <c r="AI198" s="7">
        <f>IF($B198&gt;64.9,'Retirement Planning'!$J$41/12,0)</f>
        <v>558.33333333333337</v>
      </c>
      <c r="AJ198" s="7">
        <f t="shared" ca="1" si="59"/>
        <v>316.66666666666663</v>
      </c>
      <c r="AK198" s="3" t="str">
        <f t="shared" ca="1" si="60"/>
        <v>N/A</v>
      </c>
      <c r="AL198" s="6" t="str">
        <f t="shared" ca="1" si="61"/>
        <v>N/A</v>
      </c>
      <c r="AM198" s="7">
        <f t="shared" ca="1" si="62"/>
        <v>1.0231815394945443E-12</v>
      </c>
      <c r="AN198" s="7">
        <f t="shared" ca="1" si="63"/>
        <v>11802.20006614404</v>
      </c>
      <c r="AO198" s="7">
        <f t="shared" si="64"/>
        <v>1125</v>
      </c>
    </row>
    <row r="199" spans="1:41" x14ac:dyDescent="0.2">
      <c r="A199">
        <f t="shared" si="65"/>
        <v>50</v>
      </c>
      <c r="B199" s="5">
        <f t="shared" si="66"/>
        <v>72</v>
      </c>
      <c r="C199" s="56">
        <f t="shared" si="67"/>
        <v>52171</v>
      </c>
      <c r="D199" s="57">
        <f ca="1">IF(AND(B198&lt;59.5,OR(B199&gt;59.5,B199=59.5)),(D198-E198+J198-K198)*(1+'Retirement Planning'!$J$23/12),(D198-E198)*(1+'Retirement Planning'!$J$23/12))</f>
        <v>410812.58147910883</v>
      </c>
      <c r="E199" s="58">
        <f t="shared" ca="1" si="54"/>
        <v>1127.9707267863778</v>
      </c>
      <c r="F199" s="57">
        <f ca="1">IF(AND(OR(B199&gt;59.5,B199=59.5),B198&lt;59.5),(F198-G198+L198-M198+N198-O198)*(1+'Retirement Planning'!$J$23/12),(F198-G198)*(1+'Retirement Planning'!$J$23/12))</f>
        <v>1350972.1513961763</v>
      </c>
      <c r="G199" s="58">
        <f ca="1">IF(AND($B$10&lt;55,B199&lt;59.5),'Retirement Planning'!$J$25,IF(OR(B199&gt;59.5,B199=59.5),MAX(0,MIN(F199,IF(D199&lt;2500,((Y199+AJ199+AA199))-X199,((Y199+AJ199+AA199)*'Retirement Planning'!$J$44)-X199))),0))</f>
        <v>7691.432053576671</v>
      </c>
      <c r="H199" s="255">
        <f ca="1">IF(MONTH(C199)=1,IF(B199&gt;69.5,F199/(INDEX('Retirement Planning'!D$1:D$264,(160+INT(B199))))/12,0),IF(F199=0,0,H198))</f>
        <v>6536.4124615902838</v>
      </c>
      <c r="I199" s="262">
        <f t="shared" ca="1" si="55"/>
        <v>0</v>
      </c>
      <c r="J199" s="254">
        <f ca="1">IF(AND(B198&lt;59.5,OR(B199=59.5,B199&gt;59.5)),0,(J198-K198)*(1+'Retirement Planning'!$J$23/12))</f>
        <v>0</v>
      </c>
      <c r="K199" s="58">
        <f t="shared" ca="1" si="56"/>
        <v>0</v>
      </c>
      <c r="L199" s="57">
        <f>IF(AND(OR(B199&gt;59.5,B199=59.5),B198&lt;59.5),0,(L198-M198)*(1+'Retirement Planning'!$J$23/12))</f>
        <v>0</v>
      </c>
      <c r="M199" s="59">
        <f>IF(AND($B$10&lt;55,B199&lt;59.5),0,IF(B199&lt;59.5,MAX(0,MIN((($Y199+$AJ199+AA199)*'Retirement Planning'!$J$44)-$G199-$X199,L199)),0))</f>
        <v>0</v>
      </c>
      <c r="N199" s="57">
        <f ca="1">(N198-O198)*(1+'Retirement Planning'!$J$23/12)</f>
        <v>0</v>
      </c>
      <c r="O199" s="59">
        <f ca="1">IF(B199&gt;59.5,MAX(0,MIN((AA199+$Y199+$AJ199)*(IF(D199&lt;(MIN(E187:E198)+1),1,'Retirement Planning'!$J$44))-M199-$G199-$X199-(IF(D199&lt;(MIN(E187:E198)+1),D199,0)),N199)),0)</f>
        <v>0</v>
      </c>
      <c r="P199" s="57">
        <f t="shared" si="68"/>
        <v>0</v>
      </c>
      <c r="Q199" s="58">
        <f t="shared" si="69"/>
        <v>0</v>
      </c>
      <c r="R199" s="57">
        <f ca="1">(R198-S198-T198)*(1+'Retirement Planning'!$J$23/12)</f>
        <v>449213.78476176743</v>
      </c>
      <c r="S199" s="58">
        <f t="shared" ca="1" si="70"/>
        <v>808.33333333333337</v>
      </c>
      <c r="T199" s="273">
        <f t="shared" ca="1" si="57"/>
        <v>1.5916157281026244E-12</v>
      </c>
      <c r="U199" s="57">
        <f ca="1">(U198-V198)*(1+'Retirement Planning'!$J$23/12)</f>
        <v>340511.53784317226</v>
      </c>
      <c r="V199" s="24">
        <f ca="1">IF(AND($B$10&lt;55,B199&lt;59.5),MIN(U199,MAX(0,(Y199+AA199+AJ199-G199)*'Retirement Planning'!$J$45)),IF(B199&lt;59.5,(MIN(U199,MAX(0,((Y199+AA199+AJ199)-G199-M199)*'Retirement Planning'!$J$45))),MIN(U199,MAX(0,(Y199+AA199+AJ199-G199-M199-K199-X199)*'Retirement Planning'!$J$45))))</f>
        <v>960.86395244765583</v>
      </c>
      <c r="W199" s="7">
        <f t="shared" ca="1" si="58"/>
        <v>2551510.055480225</v>
      </c>
      <c r="X199" s="7">
        <f>(IF(B199&gt;'Retirement Planning'!$J$34,IF('Retirement Planning'!$J$34=70,'Retirement Planning'!$J$37/12,IF('Retirement Planning'!$J$34=67,'Retirement Planning'!$J$36/12,'Retirement Planning'!$J$35/12)),0))*'Retirement Planning'!$J$38</f>
        <v>1213.6000000000001</v>
      </c>
      <c r="Y199" s="7">
        <f ca="1">'Retirement Planning'!$F$35*((1+'Retirement Planning'!$J$24)^(YEAR('Projected Retirement Drawdown'!C199)-YEAR(TODAY())))</f>
        <v>8697.6207283179774</v>
      </c>
      <c r="Z199" s="7">
        <f ca="1">G199+M199+O199+0.85*X199+V199*'Retirement Planning'!$J$46+T199</f>
        <v>9251.4672274228833</v>
      </c>
      <c r="AA199" s="7">
        <f ca="1">IF(MONTH(C199)=1,(((MIN(MAX(0,((SUM(Z187:Z198)-'Retirement Planning'!$I$53-'Retirement Planning'!$I$54)-'Retirement Planning'!$J$51)*'Retirement Planning'!$I$52))))+(MIN(MAX(0,((SUM(Z187:Z198)-'Retirement Planning'!$I$53-'Retirement Planning'!$I$54)-'Retirement Planning'!$J$50)*'Retirement Planning'!$I$51),('Retirement Planning'!$J$51-'Retirement Planning'!$J$50)*'Retirement Planning'!$I$51))+(MIN(MAX(0,((SUM(Z187:Z198)-'Retirement Planning'!$I$53-'Retirement Planning'!$I$54)-'Retirement Planning'!$J$49)*'Retirement Planning'!$I$50),('Retirement Planning'!$J$50-'Retirement Planning'!$J$49)*'Retirement Planning'!$I$50)+MIN(MAX(0,((SUM(Z187:Z198)-'Retirement Planning'!$I$53-'Retirement Planning'!$I$54)-'Retirement Planning'!$J$48)*'Retirement Planning'!$I$49),('Retirement Planning'!$J$49-'Retirement Planning'!$J$48)*'Retirement Planning'!$I$49)+MIN(((SUM(Z187:Z198)-'Retirement Planning'!$I$53-'Retirement Planning'!$I$54))*'Retirement Planning'!$I$48,('Retirement Planning'!$J$48)*'Retirement Planning'!$I$48))+(IF((SUM(Z187:Z198)-'Retirement Planning'!$I$54-'Retirement Planning'!$I$61)&gt;'Retirement Planning'!$J$59,(SUM(Z187:Z198)-'Retirement Planning'!$I$54-'Retirement Planning'!$I$61-'Retirement Planning'!$J$59)*'Retirement Planning'!$I$60+'Retirement Planning'!$K$59,IF((SUM(Z187:Z198)-'Retirement Planning'!$I$54-'Retirement Planning'!$I$61)&gt;'Retirement Planning'!$J$58,(SUM(Z187:Z198)-'Retirement Planning'!$I$54-'Retirement Planning'!$I$61-'Retirement Planning'!$J$58)*'Retirement Planning'!$I$59+'Retirement Planning'!$K$58,IF((SUM(Z187:Z198)-'Retirement Planning'!$I$54-'Retirement Planning'!$I$61)&gt;'Retirement Planning'!$J$57,(SUM(Z187:Z198)-'Retirement Planning'!$I$54-'Retirement Planning'!$I$61-'Retirement Planning'!$J$57)*'Retirement Planning'!$I$58+'Retirement Planning'!$K$57,IF((SUM(Z187:Z198)-'Retirement Planning'!$I$54-'Retirement Planning'!$I$61)&gt;'Retirement Planning'!$J$56,(SUM(Z187:Z198)-'Retirement Planning'!$I$54-'Retirement Planning'!$I$61-'Retirement Planning'!$J$56)*'Retirement Planning'!$I$57+'Retirement Planning'!$K$56,(SUM(Z187:Z198)-'Retirement Planning'!$I$54-'Retirement Planning'!$I$61)*'Retirement Planning'!$I$56))))))/12,AA198)</f>
        <v>1979.5793378260626</v>
      </c>
      <c r="AB199" s="104">
        <f t="shared" ca="1" si="77"/>
        <v>0.22220328206813775</v>
      </c>
      <c r="AC199" s="7">
        <f>IF(B199&lt;65,'Retirement Planning'!$J$28,0)</f>
        <v>0</v>
      </c>
      <c r="AD199" s="7">
        <f>IF(B199&lt;65,'Retirement Planning'!$J$29/12,0)</f>
        <v>0</v>
      </c>
      <c r="AE199" s="22">
        <f>'Retirement Planning'!$J$31/12</f>
        <v>58.333333333333336</v>
      </c>
      <c r="AF199" s="22">
        <f>'Retirement Planning'!$J$32/12</f>
        <v>66.666666666666671</v>
      </c>
      <c r="AG199" s="7">
        <f>IF($B199&gt;64.9,'Retirement Planning'!$J$39/12,0)</f>
        <v>183.33333333333334</v>
      </c>
      <c r="AH199" s="7">
        <f>IF($B199&gt;64.9,'Retirement Planning'!$J$40/12,0)</f>
        <v>258.33333333333331</v>
      </c>
      <c r="AI199" s="7">
        <f>IF($B199&gt;64.9,'Retirement Planning'!$J$41/12,0)</f>
        <v>558.33333333333337</v>
      </c>
      <c r="AJ199" s="7">
        <f t="shared" ca="1" si="59"/>
        <v>316.66666666666663</v>
      </c>
      <c r="AK199" s="3" t="str">
        <f t="shared" ca="1" si="60"/>
        <v>N/A</v>
      </c>
      <c r="AL199" s="6" t="str">
        <f t="shared" ca="1" si="61"/>
        <v>N/A</v>
      </c>
      <c r="AM199" s="7">
        <f t="shared" ca="1" si="62"/>
        <v>1.0231815394945443E-12</v>
      </c>
      <c r="AN199" s="7">
        <f t="shared" ca="1" si="63"/>
        <v>11802.20006614404</v>
      </c>
      <c r="AO199" s="7">
        <f t="shared" si="64"/>
        <v>1125</v>
      </c>
    </row>
    <row r="200" spans="1:41" x14ac:dyDescent="0.2">
      <c r="A200">
        <f t="shared" si="65"/>
        <v>50</v>
      </c>
      <c r="B200" s="5">
        <f t="shared" si="66"/>
        <v>72.099999999999994</v>
      </c>
      <c r="C200" s="56">
        <f t="shared" si="67"/>
        <v>52201</v>
      </c>
      <c r="D200" s="57">
        <f ca="1">IF(AND(B199&lt;59.5,OR(B200&gt;59.5,B200=59.5)),(D199-E199+J199-K199)*(1+'Retirement Planning'!$J$23/12),(D199-E199)*(1+'Retirement Planning'!$J$23/12))</f>
        <v>412586.5434118181</v>
      </c>
      <c r="E200" s="58">
        <f t="shared" ca="1" si="54"/>
        <v>1127.9707267863778</v>
      </c>
      <c r="F200" s="57">
        <f ca="1">IF(AND(OR(B200&gt;59.5,B200=59.5),B199&lt;59.5),(F199-G199+L199-M199+N199-O199)*(1+'Retirement Planning'!$J$23/12),(F199-G199)*(1+'Retirement Planning'!$J$23/12))</f>
        <v>1352795.6244379431</v>
      </c>
      <c r="G200" s="58">
        <f ca="1">IF(AND($B$10&lt;55,B200&lt;59.5),'Retirement Planning'!$J$25,IF(OR(B200&gt;59.5,B200=59.5),MAX(0,MIN(F200,IF(D200&lt;2500,((Y200+AJ200+AA200))-X200,((Y200+AJ200+AA200)*'Retirement Planning'!$J$44)-X200))),0))</f>
        <v>7691.432053576671</v>
      </c>
      <c r="H200" s="255">
        <f ca="1">IF(MONTH(C200)=1,IF(B200&gt;69.5,F200/(INDEX('Retirement Planning'!D$1:D$264,(160+INT(B200))))/12,0),IF(F200=0,0,H199))</f>
        <v>6536.4124615902838</v>
      </c>
      <c r="I200" s="262">
        <f t="shared" ca="1" si="55"/>
        <v>0</v>
      </c>
      <c r="J200" s="254">
        <f ca="1">IF(AND(B199&lt;59.5,OR(B200=59.5,B200&gt;59.5)),0,(J199-K199)*(1+'Retirement Planning'!$J$23/12))</f>
        <v>0</v>
      </c>
      <c r="K200" s="58">
        <f t="shared" ca="1" si="56"/>
        <v>0</v>
      </c>
      <c r="L200" s="57">
        <f>IF(AND(OR(B200&gt;59.5,B200=59.5),B199&lt;59.5),0,(L199-M199)*(1+'Retirement Planning'!$J$23/12))</f>
        <v>0</v>
      </c>
      <c r="M200" s="59">
        <f>IF(AND($B$10&lt;55,B200&lt;59.5),0,IF(B200&lt;59.5,MAX(0,MIN((($Y200+$AJ200+AA200)*'Retirement Planning'!$J$44)-$G200-$X200,L200)),0))</f>
        <v>0</v>
      </c>
      <c r="N200" s="57">
        <f ca="1">(N199-O199)*(1+'Retirement Planning'!$J$23/12)</f>
        <v>0</v>
      </c>
      <c r="O200" s="59">
        <f ca="1">IF(B200&gt;59.5,MAX(0,MIN((AA200+$Y200+$AJ200)*(IF(D200&lt;(MIN(E188:E199)+1),1,'Retirement Planning'!$J$44))-M200-$G200-$X200-(IF(D200&lt;(MIN(E188:E199)+1),D200,0)),N200)),0)</f>
        <v>0</v>
      </c>
      <c r="P200" s="57">
        <f t="shared" si="68"/>
        <v>0</v>
      </c>
      <c r="Q200" s="58">
        <f t="shared" si="69"/>
        <v>0</v>
      </c>
      <c r="R200" s="57">
        <f ca="1">(R199-S199-T199)*(1+'Retirement Planning'!$J$23/12)</f>
        <v>451581.65670938551</v>
      </c>
      <c r="S200" s="58">
        <f t="shared" ca="1" si="70"/>
        <v>808.33333333333337</v>
      </c>
      <c r="T200" s="273">
        <f t="shared" ca="1" si="57"/>
        <v>1.5916157281026244E-12</v>
      </c>
      <c r="U200" s="57">
        <f ca="1">(U199-V199)*(1+'Retirement Planning'!$J$23/12)</f>
        <v>341955.82449745055</v>
      </c>
      <c r="V200" s="24">
        <f ca="1">IF(AND($B$10&lt;55,B200&lt;59.5),MIN(U200,MAX(0,(Y200+AA200+AJ200-G200)*'Retirement Planning'!$J$45)),IF(B200&lt;59.5,(MIN(U200,MAX(0,((Y200+AA200+AJ200)-G200-M200)*'Retirement Planning'!$J$45))),MIN(U200,MAX(0,(Y200+AA200+AJ200-G200-M200-K200-X200)*'Retirement Planning'!$J$45))))</f>
        <v>960.86395244765583</v>
      </c>
      <c r="W200" s="7">
        <f t="shared" ca="1" si="58"/>
        <v>2558919.6490565971</v>
      </c>
      <c r="X200" s="7">
        <f>(IF(B200&gt;'Retirement Planning'!$J$34,IF('Retirement Planning'!$J$34=70,'Retirement Planning'!$J$37/12,IF('Retirement Planning'!$J$34=67,'Retirement Planning'!$J$36/12,'Retirement Planning'!$J$35/12)),0))*'Retirement Planning'!$J$38</f>
        <v>1213.6000000000001</v>
      </c>
      <c r="Y200" s="7">
        <f ca="1">'Retirement Planning'!$F$35*((1+'Retirement Planning'!$J$24)^(YEAR('Projected Retirement Drawdown'!C200)-YEAR(TODAY())))</f>
        <v>8697.6207283179774</v>
      </c>
      <c r="Z200" s="7">
        <f ca="1">G200+M200+O200+0.85*X200+V200*'Retirement Planning'!$J$46+T200</f>
        <v>9251.4672274228833</v>
      </c>
      <c r="AA200" s="7">
        <f ca="1">IF(MONTH(C200)=1,(((MIN(MAX(0,((SUM(Z188:Z199)-'Retirement Planning'!$I$53-'Retirement Planning'!$I$54)-'Retirement Planning'!$J$51)*'Retirement Planning'!$I$52))))+(MIN(MAX(0,((SUM(Z188:Z199)-'Retirement Planning'!$I$53-'Retirement Planning'!$I$54)-'Retirement Planning'!$J$50)*'Retirement Planning'!$I$51),('Retirement Planning'!$J$51-'Retirement Planning'!$J$50)*'Retirement Planning'!$I$51))+(MIN(MAX(0,((SUM(Z188:Z199)-'Retirement Planning'!$I$53-'Retirement Planning'!$I$54)-'Retirement Planning'!$J$49)*'Retirement Planning'!$I$50),('Retirement Planning'!$J$50-'Retirement Planning'!$J$49)*'Retirement Planning'!$I$50)+MIN(MAX(0,((SUM(Z188:Z199)-'Retirement Planning'!$I$53-'Retirement Planning'!$I$54)-'Retirement Planning'!$J$48)*'Retirement Planning'!$I$49),('Retirement Planning'!$J$49-'Retirement Planning'!$J$48)*'Retirement Planning'!$I$49)+MIN(((SUM(Z188:Z199)-'Retirement Planning'!$I$53-'Retirement Planning'!$I$54))*'Retirement Planning'!$I$48,('Retirement Planning'!$J$48)*'Retirement Planning'!$I$48))+(IF((SUM(Z188:Z199)-'Retirement Planning'!$I$54-'Retirement Planning'!$I$61)&gt;'Retirement Planning'!$J$59,(SUM(Z188:Z199)-'Retirement Planning'!$I$54-'Retirement Planning'!$I$61-'Retirement Planning'!$J$59)*'Retirement Planning'!$I$60+'Retirement Planning'!$K$59,IF((SUM(Z188:Z199)-'Retirement Planning'!$I$54-'Retirement Planning'!$I$61)&gt;'Retirement Planning'!$J$58,(SUM(Z188:Z199)-'Retirement Planning'!$I$54-'Retirement Planning'!$I$61-'Retirement Planning'!$J$58)*'Retirement Planning'!$I$59+'Retirement Planning'!$K$58,IF((SUM(Z188:Z199)-'Retirement Planning'!$I$54-'Retirement Planning'!$I$61)&gt;'Retirement Planning'!$J$57,(SUM(Z188:Z199)-'Retirement Planning'!$I$54-'Retirement Planning'!$I$61-'Retirement Planning'!$J$57)*'Retirement Planning'!$I$58+'Retirement Planning'!$K$57,IF((SUM(Z188:Z199)-'Retirement Planning'!$I$54-'Retirement Planning'!$I$61)&gt;'Retirement Planning'!$J$56,(SUM(Z188:Z199)-'Retirement Planning'!$I$54-'Retirement Planning'!$I$61-'Retirement Planning'!$J$56)*'Retirement Planning'!$I$57+'Retirement Planning'!$K$56,(SUM(Z188:Z199)-'Retirement Planning'!$I$54-'Retirement Planning'!$I$61)*'Retirement Planning'!$I$56))))))/12,AA199)</f>
        <v>1979.5793378260626</v>
      </c>
      <c r="AB200" s="104">
        <f t="shared" ca="1" si="77"/>
        <v>0.22220328206813775</v>
      </c>
      <c r="AC200" s="7">
        <f>IF(B200&lt;65,'Retirement Planning'!$J$28,0)</f>
        <v>0</v>
      </c>
      <c r="AD200" s="7">
        <f>IF(B200&lt;65,'Retirement Planning'!$J$29/12,0)</f>
        <v>0</v>
      </c>
      <c r="AE200" s="22">
        <f>'Retirement Planning'!$J$31/12</f>
        <v>58.333333333333336</v>
      </c>
      <c r="AF200" s="22">
        <f>'Retirement Planning'!$J$32/12</f>
        <v>66.666666666666671</v>
      </c>
      <c r="AG200" s="7">
        <f>IF($B200&gt;64.9,'Retirement Planning'!$J$39/12,0)</f>
        <v>183.33333333333334</v>
      </c>
      <c r="AH200" s="7">
        <f>IF($B200&gt;64.9,'Retirement Planning'!$J$40/12,0)</f>
        <v>258.33333333333331</v>
      </c>
      <c r="AI200" s="7">
        <f>IF($B200&gt;64.9,'Retirement Planning'!$J$41/12,0)</f>
        <v>558.33333333333337</v>
      </c>
      <c r="AJ200" s="7">
        <f t="shared" ca="1" si="59"/>
        <v>316.66666666666663</v>
      </c>
      <c r="AK200" s="3" t="str">
        <f t="shared" ca="1" si="60"/>
        <v>N/A</v>
      </c>
      <c r="AL200" s="6" t="str">
        <f t="shared" ca="1" si="61"/>
        <v>N/A</v>
      </c>
      <c r="AM200" s="7">
        <f t="shared" ca="1" si="62"/>
        <v>1.0231815394945443E-12</v>
      </c>
      <c r="AN200" s="7">
        <f t="shared" ca="1" si="63"/>
        <v>11802.20006614404</v>
      </c>
      <c r="AO200" s="7">
        <f t="shared" si="64"/>
        <v>1125</v>
      </c>
    </row>
    <row r="201" spans="1:41" x14ac:dyDescent="0.2">
      <c r="A201">
        <f t="shared" si="65"/>
        <v>50</v>
      </c>
      <c r="B201" s="5">
        <f t="shared" si="66"/>
        <v>72.2</v>
      </c>
      <c r="C201" s="56">
        <f t="shared" si="67"/>
        <v>52232</v>
      </c>
      <c r="D201" s="57">
        <f ca="1">IF(AND(B200&lt;59.5,OR(B201&gt;59.5,B201=59.5)),(D200-E200+J200-K200)*(1+'Retirement Planning'!$J$23/12),(D200-E200)*(1+'Retirement Planning'!$J$23/12))</f>
        <v>414373.0709082174</v>
      </c>
      <c r="E201" s="58">
        <f t="shared" ca="1" si="54"/>
        <v>1170.5365175616425</v>
      </c>
      <c r="F201" s="57">
        <f ca="1">IF(AND(OR(B201&gt;59.5,B201=59.5),B200&lt;59.5),(F200-G200+L200-M200+N200-O200)*(1+'Retirement Planning'!$J$23/12),(F200-G200)*(1+'Retirement Planning'!$J$23/12))</f>
        <v>1354632.0137470891</v>
      </c>
      <c r="G201" s="58">
        <f ca="1">IF(AND($B$10&lt;55,B201&lt;59.5),'Retirement Planning'!$J$25,IF(OR(B201&gt;59.5,B201=59.5),MAX(0,MIN(F201,IF(D201&lt;2500,((Y201+AJ201+AA201))-X201,((Y201+AJ201+AA201)*'Retirement Planning'!$J$44)-X201))),0))</f>
        <v>8027.4777702234987</v>
      </c>
      <c r="H201" s="255">
        <f ca="1">IF(MONTH(C201)=1,IF(B201&gt;69.5,F201/(INDEX('Retirement Planning'!D$1:D$264,(160+INT(B201))))/12,0),IF(F201=0,0,H200))</f>
        <v>6925.5215426742798</v>
      </c>
      <c r="I201" s="262">
        <f t="shared" ca="1" si="55"/>
        <v>0</v>
      </c>
      <c r="J201" s="254">
        <f ca="1">IF(AND(B200&lt;59.5,OR(B201=59.5,B201&gt;59.5)),0,(J200-K200)*(1+'Retirement Planning'!$J$23/12))</f>
        <v>0</v>
      </c>
      <c r="K201" s="58">
        <f t="shared" ca="1" si="56"/>
        <v>0</v>
      </c>
      <c r="L201" s="57">
        <f>IF(AND(OR(B201&gt;59.5,B201=59.5),B200&lt;59.5),0,(L200-M200)*(1+'Retirement Planning'!$J$23/12))</f>
        <v>0</v>
      </c>
      <c r="M201" s="59">
        <f>IF(AND($B$10&lt;55,B201&lt;59.5),0,IF(B201&lt;59.5,MAX(0,MIN((($Y201+$AJ201+AA201)*'Retirement Planning'!$J$44)-$G201-$X201,L201)),0))</f>
        <v>0</v>
      </c>
      <c r="N201" s="57">
        <f ca="1">(N200-O200)*(1+'Retirement Planning'!$J$23/12)</f>
        <v>0</v>
      </c>
      <c r="O201" s="59">
        <f ca="1">IF(B201&gt;59.5,MAX(0,MIN((AA201+$Y201+$AJ201)*(IF(D201&lt;(MIN(E189:E200)+1),1,'Retirement Planning'!$J$44))-M201-$G201-$X201-(IF(D201&lt;(MIN(E189:E200)+1),D201,0)),N201)),0)</f>
        <v>0</v>
      </c>
      <c r="P201" s="57">
        <f t="shared" si="68"/>
        <v>0</v>
      </c>
      <c r="Q201" s="58">
        <f t="shared" si="69"/>
        <v>0</v>
      </c>
      <c r="R201" s="57">
        <f ca="1">(R200-S200-T200)*(1+'Retirement Planning'!$J$23/12)</f>
        <v>453966.30108329921</v>
      </c>
      <c r="S201" s="58">
        <f t="shared" ca="1" si="70"/>
        <v>808.33333333333337</v>
      </c>
      <c r="T201" s="273">
        <f t="shared" ca="1" si="57"/>
        <v>6.8212102632969618E-13</v>
      </c>
      <c r="U201" s="57">
        <f ca="1">(U200-V200)*(1+'Retirement Planning'!$J$23/12)</f>
        <v>343410.34151553002</v>
      </c>
      <c r="V201" s="24">
        <f ca="1">IF(AND($B$10&lt;55,B201&lt;59.5),MIN(U201,MAX(0,(Y201+AA201+AJ201-G201)*'Retirement Planning'!$J$45)),IF(B201&lt;59.5,(MIN(U201,MAX(0,((Y201+AA201+AJ201)-G201-M201)*'Retirement Planning'!$J$45))),MIN(U201,MAX(0,(Y201+AA201+AJ201-G201-M201-K201-X201)*'Retirement Planning'!$J$45))))</f>
        <v>997.12370014510282</v>
      </c>
      <c r="W201" s="7">
        <f t="shared" ca="1" si="58"/>
        <v>2566381.7272541355</v>
      </c>
      <c r="X201" s="7">
        <f>(IF(B201&gt;'Retirement Planning'!$J$34,IF('Retirement Planning'!$J$34=70,'Retirement Planning'!$J$37/12,IF('Retirement Planning'!$J$34=67,'Retirement Planning'!$J$36/12,'Retirement Planning'!$J$35/12)),0))*'Retirement Planning'!$J$38</f>
        <v>1213.6000000000001</v>
      </c>
      <c r="Y201" s="7">
        <f ca="1">'Retirement Planning'!$F$35*((1+'Retirement Planning'!$J$24)^(YEAR('Projected Retirement Drawdown'!C201)-YEAR(TODAY())))</f>
        <v>9002.0374538091073</v>
      </c>
      <c r="Z201" s="7">
        <f ca="1">G201+M201+O201+0.85*X201+V201*'Retirement Planning'!$J$46+T201</f>
        <v>9607.4558053033052</v>
      </c>
      <c r="AA201" s="7">
        <f ca="1">IF(MONTH(C201)=1,(((MIN(MAX(0,((SUM(Z189:Z200)-'Retirement Planning'!$I$53-'Retirement Planning'!$I$54)-'Retirement Planning'!$J$51)*'Retirement Planning'!$I$52))))+(MIN(MAX(0,((SUM(Z189:Z200)-'Retirement Planning'!$I$53-'Retirement Planning'!$I$54)-'Retirement Planning'!$J$50)*'Retirement Planning'!$I$51),('Retirement Planning'!$J$51-'Retirement Planning'!$J$50)*'Retirement Planning'!$I$51))+(MIN(MAX(0,((SUM(Z189:Z200)-'Retirement Planning'!$I$53-'Retirement Planning'!$I$54)-'Retirement Planning'!$J$49)*'Retirement Planning'!$I$50),('Retirement Planning'!$J$50-'Retirement Planning'!$J$49)*'Retirement Planning'!$I$50)+MIN(MAX(0,((SUM(Z189:Z200)-'Retirement Planning'!$I$53-'Retirement Planning'!$I$54)-'Retirement Planning'!$J$48)*'Retirement Planning'!$I$49),('Retirement Planning'!$J$49-'Retirement Planning'!$J$48)*'Retirement Planning'!$I$49)+MIN(((SUM(Z189:Z200)-'Retirement Planning'!$I$53-'Retirement Planning'!$I$54))*'Retirement Planning'!$I$48,('Retirement Planning'!$J$48)*'Retirement Planning'!$I$48))+(IF((SUM(Z189:Z200)-'Retirement Planning'!$I$54-'Retirement Planning'!$I$61)&gt;'Retirement Planning'!$J$59,(SUM(Z189:Z200)-'Retirement Planning'!$I$54-'Retirement Planning'!$I$61-'Retirement Planning'!$J$59)*'Retirement Planning'!$I$60+'Retirement Planning'!$K$59,IF((SUM(Z189:Z200)-'Retirement Planning'!$I$54-'Retirement Planning'!$I$61)&gt;'Retirement Planning'!$J$58,(SUM(Z189:Z200)-'Retirement Planning'!$I$54-'Retirement Planning'!$I$61-'Retirement Planning'!$J$58)*'Retirement Planning'!$I$59+'Retirement Planning'!$K$58,IF((SUM(Z189:Z200)-'Retirement Planning'!$I$54-'Retirement Planning'!$I$61)&gt;'Retirement Planning'!$J$57,(SUM(Z189:Z200)-'Retirement Planning'!$I$54-'Retirement Planning'!$I$61-'Retirement Planning'!$J$57)*'Retirement Planning'!$I$58+'Retirement Planning'!$K$57,IF((SUM(Z189:Z200)-'Retirement Planning'!$I$54-'Retirement Planning'!$I$61)&gt;'Retirement Planning'!$J$56,(SUM(Z189:Z200)-'Retirement Planning'!$I$54-'Retirement Planning'!$I$61-'Retirement Planning'!$J$56)*'Retirement Planning'!$I$57+'Retirement Planning'!$K$56,(SUM(Z189:Z200)-'Retirement Planning'!$I$54-'Retirement Planning'!$I$61)*'Retirement Planning'!$I$56))))))/12,AA200)</f>
        <v>2090.0338674544705</v>
      </c>
      <c r="AB201" s="104">
        <f t="shared" ref="AB201" ca="1" si="82">SUM(AA201:AA212)/SUM(Z189:Z200)</f>
        <v>0.22591377303475318</v>
      </c>
      <c r="AC201" s="7">
        <f>IF(B201&lt;65,'Retirement Planning'!$J$28,0)</f>
        <v>0</v>
      </c>
      <c r="AD201" s="7">
        <f>IF(B201&lt;65,'Retirement Planning'!$J$29/12,0)</f>
        <v>0</v>
      </c>
      <c r="AE201" s="22">
        <f>'Retirement Planning'!$J$31/12</f>
        <v>58.333333333333336</v>
      </c>
      <c r="AF201" s="22">
        <f>'Retirement Planning'!$J$32/12</f>
        <v>66.666666666666671</v>
      </c>
      <c r="AG201" s="7">
        <f>IF($B201&gt;64.9,'Retirement Planning'!$J$39/12,0)</f>
        <v>183.33333333333334</v>
      </c>
      <c r="AH201" s="7">
        <f>IF($B201&gt;64.9,'Retirement Planning'!$J$40/12,0)</f>
        <v>258.33333333333331</v>
      </c>
      <c r="AI201" s="7">
        <f>IF($B201&gt;64.9,'Retirement Planning'!$J$41/12,0)</f>
        <v>558.33333333333337</v>
      </c>
      <c r="AJ201" s="7">
        <f t="shared" ca="1" si="59"/>
        <v>316.66666666666663</v>
      </c>
      <c r="AK201" s="3" t="str">
        <f t="shared" ca="1" si="60"/>
        <v>N/A</v>
      </c>
      <c r="AL201" s="6" t="str">
        <f t="shared" ca="1" si="61"/>
        <v>N/A</v>
      </c>
      <c r="AM201" s="7">
        <f t="shared" ca="1" si="62"/>
        <v>1.0231815394945443E-12</v>
      </c>
      <c r="AN201" s="7">
        <f t="shared" ca="1" si="63"/>
        <v>12217.071321263578</v>
      </c>
      <c r="AO201" s="7">
        <f t="shared" si="64"/>
        <v>1125</v>
      </c>
    </row>
    <row r="202" spans="1:41" x14ac:dyDescent="0.2">
      <c r="A202">
        <f t="shared" si="65"/>
        <v>50</v>
      </c>
      <c r="B202" s="5">
        <f t="shared" si="66"/>
        <v>72.3</v>
      </c>
      <c r="C202" s="56">
        <f t="shared" si="67"/>
        <v>52263</v>
      </c>
      <c r="D202" s="57">
        <f ca="1">IF(AND(B201&lt;59.5,OR(B202&gt;59.5,B202=59.5)),(D201-E201+J201-K201)*(1+'Retirement Planning'!$J$23/12),(D201-E201)*(1+'Retirement Planning'!$J$23/12))</f>
        <v>416129.38567592291</v>
      </c>
      <c r="E202" s="58">
        <f t="shared" ca="1" si="54"/>
        <v>1170.5365175616425</v>
      </c>
      <c r="F202" s="57">
        <f ca="1">IF(AND(OR(B202&gt;59.5,B202=59.5),B201&lt;59.5),(F201-G201+L201-M201+N201-O201)*(1+'Retirement Planning'!$J$23/12),(F201-G201)*(1+'Retirement Planning'!$J$23/12))</f>
        <v>1356142.9847733683</v>
      </c>
      <c r="G202" s="58">
        <f ca="1">IF(AND($B$10&lt;55,B202&lt;59.5),'Retirement Planning'!$J$25,IF(OR(B202&gt;59.5,B202=59.5),MAX(0,MIN(F202,IF(D202&lt;2500,((Y202+AJ202+AA202))-X202,((Y202+AJ202+AA202)*'Retirement Planning'!$J$44)-X202))),0))</f>
        <v>8027.4777702234987</v>
      </c>
      <c r="H202" s="255">
        <f ca="1">IF(MONTH(C202)=1,IF(B202&gt;69.5,F202/(INDEX('Retirement Planning'!D$1:D$264,(160+INT(B202))))/12,0),IF(F202=0,0,H201))</f>
        <v>6925.5215426742798</v>
      </c>
      <c r="I202" s="262">
        <f t="shared" ca="1" si="55"/>
        <v>0</v>
      </c>
      <c r="J202" s="254">
        <f ca="1">IF(AND(B201&lt;59.5,OR(B202=59.5,B202&gt;59.5)),0,(J201-K201)*(1+'Retirement Planning'!$J$23/12))</f>
        <v>0</v>
      </c>
      <c r="K202" s="58">
        <f t="shared" ca="1" si="56"/>
        <v>0</v>
      </c>
      <c r="L202" s="57">
        <f>IF(AND(OR(B202&gt;59.5,B202=59.5),B201&lt;59.5),0,(L201-M201)*(1+'Retirement Planning'!$J$23/12))</f>
        <v>0</v>
      </c>
      <c r="M202" s="59">
        <f>IF(AND($B$10&lt;55,B202&lt;59.5),0,IF(B202&lt;59.5,MAX(0,MIN((($Y202+$AJ202+AA202)*'Retirement Planning'!$J$44)-$G202-$X202,L202)),0))</f>
        <v>0</v>
      </c>
      <c r="N202" s="57">
        <f ca="1">(N201-O201)*(1+'Retirement Planning'!$J$23/12)</f>
        <v>0</v>
      </c>
      <c r="O202" s="59">
        <f ca="1">IF(B202&gt;59.5,MAX(0,MIN((AA202+$Y202+$AJ202)*(IF(D202&lt;(MIN(E190:E201)+1),1,'Retirement Planning'!$J$44))-M202-$G202-$X202-(IF(D202&lt;(MIN(E190:E201)+1),D202,0)),N202)),0)</f>
        <v>0</v>
      </c>
      <c r="P202" s="57">
        <f t="shared" si="68"/>
        <v>0</v>
      </c>
      <c r="Q202" s="58">
        <f t="shared" si="69"/>
        <v>0</v>
      </c>
      <c r="R202" s="57">
        <f ca="1">(R201-S201-T201)*(1+'Retirement Planning'!$J$23/12)</f>
        <v>456367.83668819483</v>
      </c>
      <c r="S202" s="58">
        <f t="shared" ca="1" si="70"/>
        <v>808.33333333333337</v>
      </c>
      <c r="T202" s="273">
        <f t="shared" ca="1" si="57"/>
        <v>6.8212102632969618E-13</v>
      </c>
      <c r="U202" s="57">
        <f ca="1">(U201-V201)*(1+'Retirement Planning'!$J$23/12)</f>
        <v>344838.64477491053</v>
      </c>
      <c r="V202" s="24">
        <f ca="1">IF(AND($B$10&lt;55,B202&lt;59.5),MIN(U202,MAX(0,(Y202+AA202+AJ202-G202)*'Retirement Planning'!$J$45)),IF(B202&lt;59.5,(MIN(U202,MAX(0,((Y202+AA202+AJ202)-G202-M202)*'Retirement Planning'!$J$45))),MIN(U202,MAX(0,(Y202+AA202+AJ202-G202-M202-K202-X202)*'Retirement Planning'!$J$45))))</f>
        <v>997.12370014510282</v>
      </c>
      <c r="W202" s="7">
        <f t="shared" ca="1" si="58"/>
        <v>2573478.8519123965</v>
      </c>
      <c r="X202" s="7">
        <f>(IF(B202&gt;'Retirement Planning'!$J$34,IF('Retirement Planning'!$J$34=70,'Retirement Planning'!$J$37/12,IF('Retirement Planning'!$J$34=67,'Retirement Planning'!$J$36/12,'Retirement Planning'!$J$35/12)),0))*'Retirement Planning'!$J$38</f>
        <v>1213.6000000000001</v>
      </c>
      <c r="Y202" s="7">
        <f ca="1">'Retirement Planning'!$F$35*((1+'Retirement Planning'!$J$24)^(YEAR('Projected Retirement Drawdown'!C202)-YEAR(TODAY())))</f>
        <v>9002.0374538091073</v>
      </c>
      <c r="Z202" s="7">
        <f ca="1">G202+M202+O202+0.85*X202+V202*'Retirement Planning'!$J$46+T202</f>
        <v>9607.4558053033052</v>
      </c>
      <c r="AA202" s="7">
        <f ca="1">IF(MONTH(C202)=1,(((MIN(MAX(0,((SUM(Z190:Z201)-'Retirement Planning'!$I$53-'Retirement Planning'!$I$54)-'Retirement Planning'!$J$51)*'Retirement Planning'!$I$52))))+(MIN(MAX(0,((SUM(Z190:Z201)-'Retirement Planning'!$I$53-'Retirement Planning'!$I$54)-'Retirement Planning'!$J$50)*'Retirement Planning'!$I$51),('Retirement Planning'!$J$51-'Retirement Planning'!$J$50)*'Retirement Planning'!$I$51))+(MIN(MAX(0,((SUM(Z190:Z201)-'Retirement Planning'!$I$53-'Retirement Planning'!$I$54)-'Retirement Planning'!$J$49)*'Retirement Planning'!$I$50),('Retirement Planning'!$J$50-'Retirement Planning'!$J$49)*'Retirement Planning'!$I$50)+MIN(MAX(0,((SUM(Z190:Z201)-'Retirement Planning'!$I$53-'Retirement Planning'!$I$54)-'Retirement Planning'!$J$48)*'Retirement Planning'!$I$49),('Retirement Planning'!$J$49-'Retirement Planning'!$J$48)*'Retirement Planning'!$I$49)+MIN(((SUM(Z190:Z201)-'Retirement Planning'!$I$53-'Retirement Planning'!$I$54))*'Retirement Planning'!$I$48,('Retirement Planning'!$J$48)*'Retirement Planning'!$I$48))+(IF((SUM(Z190:Z201)-'Retirement Planning'!$I$54-'Retirement Planning'!$I$61)&gt;'Retirement Planning'!$J$59,(SUM(Z190:Z201)-'Retirement Planning'!$I$54-'Retirement Planning'!$I$61-'Retirement Planning'!$J$59)*'Retirement Planning'!$I$60+'Retirement Planning'!$K$59,IF((SUM(Z190:Z201)-'Retirement Planning'!$I$54-'Retirement Planning'!$I$61)&gt;'Retirement Planning'!$J$58,(SUM(Z190:Z201)-'Retirement Planning'!$I$54-'Retirement Planning'!$I$61-'Retirement Planning'!$J$58)*'Retirement Planning'!$I$59+'Retirement Planning'!$K$58,IF((SUM(Z190:Z201)-'Retirement Planning'!$I$54-'Retirement Planning'!$I$61)&gt;'Retirement Planning'!$J$57,(SUM(Z190:Z201)-'Retirement Planning'!$I$54-'Retirement Planning'!$I$61-'Retirement Planning'!$J$57)*'Retirement Planning'!$I$58+'Retirement Planning'!$K$57,IF((SUM(Z190:Z201)-'Retirement Planning'!$I$54-'Retirement Planning'!$I$61)&gt;'Retirement Planning'!$J$56,(SUM(Z190:Z201)-'Retirement Planning'!$I$54-'Retirement Planning'!$I$61-'Retirement Planning'!$J$56)*'Retirement Planning'!$I$57+'Retirement Planning'!$K$56,(SUM(Z190:Z201)-'Retirement Planning'!$I$54-'Retirement Planning'!$I$61)*'Retirement Planning'!$I$56))))))/12,AA201)</f>
        <v>2090.0338674544705</v>
      </c>
      <c r="AB202" s="104">
        <f t="shared" ref="AB202:AB265" ca="1" si="83">AB201</f>
        <v>0.22591377303475318</v>
      </c>
      <c r="AC202" s="7">
        <f>IF(B202&lt;65,'Retirement Planning'!$J$28,0)</f>
        <v>0</v>
      </c>
      <c r="AD202" s="7">
        <f>IF(B202&lt;65,'Retirement Planning'!$J$29/12,0)</f>
        <v>0</v>
      </c>
      <c r="AE202" s="22">
        <f>'Retirement Planning'!$J$31/12</f>
        <v>58.333333333333336</v>
      </c>
      <c r="AF202" s="22">
        <f>'Retirement Planning'!$J$32/12</f>
        <v>66.666666666666671</v>
      </c>
      <c r="AG202" s="7">
        <f>IF($B202&gt;64.9,'Retirement Planning'!$J$39/12,0)</f>
        <v>183.33333333333334</v>
      </c>
      <c r="AH202" s="7">
        <f>IF($B202&gt;64.9,'Retirement Planning'!$J$40/12,0)</f>
        <v>258.33333333333331</v>
      </c>
      <c r="AI202" s="7">
        <f>IF($B202&gt;64.9,'Retirement Planning'!$J$41/12,0)</f>
        <v>558.33333333333337</v>
      </c>
      <c r="AJ202" s="7">
        <f t="shared" ca="1" si="59"/>
        <v>316.66666666666663</v>
      </c>
      <c r="AK202" s="3" t="str">
        <f t="shared" ca="1" si="60"/>
        <v>N/A</v>
      </c>
      <c r="AL202" s="6" t="str">
        <f t="shared" ca="1" si="61"/>
        <v>N/A</v>
      </c>
      <c r="AM202" s="7">
        <f t="shared" ca="1" si="62"/>
        <v>1.0231815394945443E-12</v>
      </c>
      <c r="AN202" s="7">
        <f t="shared" ca="1" si="63"/>
        <v>12217.071321263578</v>
      </c>
      <c r="AO202" s="7">
        <f t="shared" si="64"/>
        <v>1125</v>
      </c>
    </row>
    <row r="203" spans="1:41" x14ac:dyDescent="0.2">
      <c r="A203">
        <f t="shared" si="65"/>
        <v>50</v>
      </c>
      <c r="B203" s="5">
        <f t="shared" si="66"/>
        <v>72.400000000000006</v>
      </c>
      <c r="C203" s="56">
        <f t="shared" si="67"/>
        <v>52291</v>
      </c>
      <c r="D203" s="57">
        <f ca="1">IF(AND(B202&lt;59.5,OR(B203&gt;59.5,B203=59.5)),(D202-E202+J202-K202)*(1+'Retirement Planning'!$J$23/12),(D202-E202)*(1+'Retirement Planning'!$J$23/12))</f>
        <v>417898.14100656629</v>
      </c>
      <c r="E203" s="58">
        <f t="shared" ref="E203:E266" ca="1" si="84">MIN(D203,MAX(0,Y203+AA203+AJ203-X203-V203-M203-G203-K203))</f>
        <v>1170.5365175616425</v>
      </c>
      <c r="F203" s="57">
        <f ca="1">IF(AND(OR(B203&gt;59.5,B203=59.5),B202&lt;59.5),(F202-G202+L202-M202+N202-O202)*(1+'Retirement Planning'!$J$23/12),(F202-G202)*(1+'Retirement Planning'!$J$23/12))</f>
        <v>1357664.6585110838</v>
      </c>
      <c r="G203" s="58">
        <f ca="1">IF(AND($B$10&lt;55,B203&lt;59.5),'Retirement Planning'!$J$25,IF(OR(B203&gt;59.5,B203=59.5),MAX(0,MIN(F203,IF(D203&lt;2500,((Y203+AJ203+AA203))-X203,((Y203+AJ203+AA203)*'Retirement Planning'!$J$44)-X203))),0))</f>
        <v>8027.4777702234987</v>
      </c>
      <c r="H203" s="255">
        <f ca="1">IF(MONTH(C203)=1,IF(B203&gt;69.5,F203/(INDEX('Retirement Planning'!D$1:D$264,(160+INT(B203))))/12,0),IF(F203=0,0,H202))</f>
        <v>6925.5215426742798</v>
      </c>
      <c r="I203" s="262">
        <f t="shared" ref="I203:I266" ca="1" si="85">MAX(0,H203-G203)</f>
        <v>0</v>
      </c>
      <c r="J203" s="254">
        <f ca="1">IF(AND(B202&lt;59.5,OR(B203=59.5,B203&gt;59.5)),0,(J202-K202)*(1+'Retirement Planning'!$J$23/12))</f>
        <v>0</v>
      </c>
      <c r="K203" s="58">
        <f t="shared" ref="K203:K266" ca="1" si="86">IF(B203&gt;59.5,MAX(0,MIN(J203,AA203+Y203+AJ203-O203-M203-G203-X203)),0)</f>
        <v>0</v>
      </c>
      <c r="L203" s="57">
        <f>IF(AND(OR(B203&gt;59.5,B203=59.5),B202&lt;59.5),0,(L202-M202)*(1+'Retirement Planning'!$J$23/12))</f>
        <v>0</v>
      </c>
      <c r="M203" s="59">
        <f>IF(AND($B$10&lt;55,B203&lt;59.5),0,IF(B203&lt;59.5,MAX(0,MIN((($Y203+$AJ203+AA203)*'Retirement Planning'!$J$44)-$G203-$X203,L203)),0))</f>
        <v>0</v>
      </c>
      <c r="N203" s="57">
        <f ca="1">(N202-O202)*(1+'Retirement Planning'!$J$23/12)</f>
        <v>0</v>
      </c>
      <c r="O203" s="59">
        <f ca="1">IF(B203&gt;59.5,MAX(0,MIN((AA203+$Y203+$AJ203)*(IF(D203&lt;(MIN(E191:E202)+1),1,'Retirement Planning'!$J$44))-M203-$G203-$X203-(IF(D203&lt;(MIN(E191:E202)+1),D203,0)),N203)),0)</f>
        <v>0</v>
      </c>
      <c r="P203" s="57">
        <f t="shared" si="68"/>
        <v>0</v>
      </c>
      <c r="Q203" s="58">
        <f t="shared" si="69"/>
        <v>0</v>
      </c>
      <c r="R203" s="57">
        <f ca="1">(R202-S202-T202)*(1+'Retirement Planning'!$J$23/12)</f>
        <v>458786.38317029178</v>
      </c>
      <c r="S203" s="58">
        <f t="shared" ca="1" si="70"/>
        <v>808.33333333333337</v>
      </c>
      <c r="T203" s="273">
        <f t="shared" ref="T203:T266" ca="1" si="87">MIN(AN203-E203-G203-K203-M203-O203-Q203-S203-V203-X203,R203-S203)</f>
        <v>6.8212102632969618E-13</v>
      </c>
      <c r="U203" s="57">
        <f ca="1">(U202-V202)*(1+'Retirement Planning'!$J$23/12)</f>
        <v>346277.06518237834</v>
      </c>
      <c r="V203" s="24">
        <f ca="1">IF(AND($B$10&lt;55,B203&lt;59.5),MIN(U203,MAX(0,(Y203+AA203+AJ203-G203)*'Retirement Planning'!$J$45)),IF(B203&lt;59.5,(MIN(U203,MAX(0,((Y203+AA203+AJ203)-G203-M203)*'Retirement Planning'!$J$45))),MIN(U203,MAX(0,(Y203+AA203+AJ203-G203-M203-K203-X203)*'Retirement Planning'!$J$45))))</f>
        <v>997.12370014510282</v>
      </c>
      <c r="W203" s="7">
        <f t="shared" ref="W203:W266" ca="1" si="88">D203+F203+J203+L203+N203+P203+R203+U203</f>
        <v>2580626.2478703205</v>
      </c>
      <c r="X203" s="7">
        <f>(IF(B203&gt;'Retirement Planning'!$J$34,IF('Retirement Planning'!$J$34=70,'Retirement Planning'!$J$37/12,IF('Retirement Planning'!$J$34=67,'Retirement Planning'!$J$36/12,'Retirement Planning'!$J$35/12)),0))*'Retirement Planning'!$J$38</f>
        <v>1213.6000000000001</v>
      </c>
      <c r="Y203" s="7">
        <f ca="1">'Retirement Planning'!$F$35*((1+'Retirement Planning'!$J$24)^(YEAR('Projected Retirement Drawdown'!C203)-YEAR(TODAY())))</f>
        <v>9002.0374538091073</v>
      </c>
      <c r="Z203" s="7">
        <f ca="1">G203+M203+O203+0.85*X203+V203*'Retirement Planning'!$J$46+T203</f>
        <v>9607.4558053033052</v>
      </c>
      <c r="AA203" s="7">
        <f ca="1">IF(MONTH(C203)=1,(((MIN(MAX(0,((SUM(Z191:Z202)-'Retirement Planning'!$I$53-'Retirement Planning'!$I$54)-'Retirement Planning'!$J$51)*'Retirement Planning'!$I$52))))+(MIN(MAX(0,((SUM(Z191:Z202)-'Retirement Planning'!$I$53-'Retirement Planning'!$I$54)-'Retirement Planning'!$J$50)*'Retirement Planning'!$I$51),('Retirement Planning'!$J$51-'Retirement Planning'!$J$50)*'Retirement Planning'!$I$51))+(MIN(MAX(0,((SUM(Z191:Z202)-'Retirement Planning'!$I$53-'Retirement Planning'!$I$54)-'Retirement Planning'!$J$49)*'Retirement Planning'!$I$50),('Retirement Planning'!$J$50-'Retirement Planning'!$J$49)*'Retirement Planning'!$I$50)+MIN(MAX(0,((SUM(Z191:Z202)-'Retirement Planning'!$I$53-'Retirement Planning'!$I$54)-'Retirement Planning'!$J$48)*'Retirement Planning'!$I$49),('Retirement Planning'!$J$49-'Retirement Planning'!$J$48)*'Retirement Planning'!$I$49)+MIN(((SUM(Z191:Z202)-'Retirement Planning'!$I$53-'Retirement Planning'!$I$54))*'Retirement Planning'!$I$48,('Retirement Planning'!$J$48)*'Retirement Planning'!$I$48))+(IF((SUM(Z191:Z202)-'Retirement Planning'!$I$54-'Retirement Planning'!$I$61)&gt;'Retirement Planning'!$J$59,(SUM(Z191:Z202)-'Retirement Planning'!$I$54-'Retirement Planning'!$I$61-'Retirement Planning'!$J$59)*'Retirement Planning'!$I$60+'Retirement Planning'!$K$59,IF((SUM(Z191:Z202)-'Retirement Planning'!$I$54-'Retirement Planning'!$I$61)&gt;'Retirement Planning'!$J$58,(SUM(Z191:Z202)-'Retirement Planning'!$I$54-'Retirement Planning'!$I$61-'Retirement Planning'!$J$58)*'Retirement Planning'!$I$59+'Retirement Planning'!$K$58,IF((SUM(Z191:Z202)-'Retirement Planning'!$I$54-'Retirement Planning'!$I$61)&gt;'Retirement Planning'!$J$57,(SUM(Z191:Z202)-'Retirement Planning'!$I$54-'Retirement Planning'!$I$61-'Retirement Planning'!$J$57)*'Retirement Planning'!$I$58+'Retirement Planning'!$K$57,IF((SUM(Z191:Z202)-'Retirement Planning'!$I$54-'Retirement Planning'!$I$61)&gt;'Retirement Planning'!$J$56,(SUM(Z191:Z202)-'Retirement Planning'!$I$54-'Retirement Planning'!$I$61-'Retirement Planning'!$J$56)*'Retirement Planning'!$I$57+'Retirement Planning'!$K$56,(SUM(Z191:Z202)-'Retirement Planning'!$I$54-'Retirement Planning'!$I$61)*'Retirement Planning'!$I$56))))))/12,AA202)</f>
        <v>2090.0338674544705</v>
      </c>
      <c r="AB203" s="104">
        <f t="shared" ca="1" si="77"/>
        <v>0.22591377303475318</v>
      </c>
      <c r="AC203" s="7">
        <f>IF(B203&lt;65,'Retirement Planning'!$J$28,0)</f>
        <v>0</v>
      </c>
      <c r="AD203" s="7">
        <f>IF(B203&lt;65,'Retirement Planning'!$J$29/12,0)</f>
        <v>0</v>
      </c>
      <c r="AE203" s="22">
        <f>'Retirement Planning'!$J$31/12</f>
        <v>58.333333333333336</v>
      </c>
      <c r="AF203" s="22">
        <f>'Retirement Planning'!$J$32/12</f>
        <v>66.666666666666671</v>
      </c>
      <c r="AG203" s="7">
        <f>IF($B203&gt;64.9,'Retirement Planning'!$J$39/12,0)</f>
        <v>183.33333333333334</v>
      </c>
      <c r="AH203" s="7">
        <f>IF($B203&gt;64.9,'Retirement Planning'!$J$40/12,0)</f>
        <v>258.33333333333331</v>
      </c>
      <c r="AI203" s="7">
        <f>IF($B203&gt;64.9,'Retirement Planning'!$J$41/12,0)</f>
        <v>558.33333333333337</v>
      </c>
      <c r="AJ203" s="7">
        <f t="shared" ref="AJ203:AJ266" ca="1" si="89">AC203+AD203+AE203+AF203+AG203+AH203+AI203-S203-Q203</f>
        <v>316.66666666666663</v>
      </c>
      <c r="AK203" s="3" t="str">
        <f t="shared" ref="AK203:AK266" ca="1" si="90">IF(AND(R203&lt;AN203,R202&gt;AN202),C203,AK202)</f>
        <v>N/A</v>
      </c>
      <c r="AL203" s="6" t="str">
        <f t="shared" ref="AL203:AL266" ca="1" si="91">IF(AND(R203&lt;AN203,R202&gt;AN202),B203,AL202)</f>
        <v>N/A</v>
      </c>
      <c r="AM203" s="7">
        <f t="shared" ref="AM203:AM266" ca="1" si="92">AA203+Y203+AC203+AD203+AE203+AF203+AG203+AH203+AI203-X203-S203-Q203-O203-M203-K203-G203-E203-V203-T203</f>
        <v>1.0231815394945443E-12</v>
      </c>
      <c r="AN203" s="7">
        <f t="shared" ref="AN203:AN266" ca="1" si="93">AI203+AH203+AG203+AF203+AE203+AD203+AC203+AA203+Y203</f>
        <v>12217.071321263578</v>
      </c>
      <c r="AO203" s="7">
        <f t="shared" ref="AO203:AO266" si="94">AC203+AD203+AE203+AF203+AG203+AH203+AI203</f>
        <v>1125</v>
      </c>
    </row>
    <row r="204" spans="1:41" x14ac:dyDescent="0.2">
      <c r="A204">
        <f t="shared" ref="A204:A267" si="95">IF(AND(B204&gt;59.5,B203&lt;59.6),ROW(B204),A203)</f>
        <v>50</v>
      </c>
      <c r="B204" s="5">
        <f t="shared" ref="B204:B267" si="96">(INT((((YEAR(C204)-YEAR(DATE(1970,10,16)))*12+MONTH(C204)-MONTH(DATE(1970,10,16)))/12)*10))/10</f>
        <v>72.5</v>
      </c>
      <c r="C204" s="56">
        <f t="shared" ref="C204:C267" si="97">DATE(YEAR(C203),MONTH(C203)+1,1)</f>
        <v>52322</v>
      </c>
      <c r="D204" s="57">
        <f ca="1">IF(AND(B203&lt;59.5,OR(B204&gt;59.5,B204=59.5)),(D203-E203+J203-K203)*(1+'Retirement Planning'!$J$23/12),(D203-E203)*(1+'Retirement Planning'!$J$23/12))</f>
        <v>419679.42502080178</v>
      </c>
      <c r="E204" s="58">
        <f t="shared" ca="1" si="84"/>
        <v>1170.5365175616425</v>
      </c>
      <c r="F204" s="57">
        <f ca="1">IF(AND(OR(B204&gt;59.5,B204=59.5),B203&lt;59.5),(F203-G203+L203-M203+N203-O203)*(1+'Retirement Planning'!$J$23/12),(F203-G203)*(1+'Retirement Planning'!$J$23/12))</f>
        <v>1359197.110771108</v>
      </c>
      <c r="G204" s="58">
        <f ca="1">IF(AND($B$10&lt;55,B204&lt;59.5),'Retirement Planning'!$J$25,IF(OR(B204&gt;59.5,B204=59.5),MAX(0,MIN(F204,IF(D204&lt;2500,((Y204+AJ204+AA204))-X204,((Y204+AJ204+AA204)*'Retirement Planning'!$J$44)-X204))),0))</f>
        <v>8027.4777702234987</v>
      </c>
      <c r="H204" s="255">
        <f ca="1">IF(MONTH(C204)=1,IF(B204&gt;69.5,F204/(INDEX('Retirement Planning'!D$1:D$264,(160+INT(B204))))/12,0),IF(F204=0,0,H203))</f>
        <v>6925.5215426742798</v>
      </c>
      <c r="I204" s="262">
        <f t="shared" ca="1" si="85"/>
        <v>0</v>
      </c>
      <c r="J204" s="254">
        <f ca="1">IF(AND(B203&lt;59.5,OR(B204=59.5,B204&gt;59.5)),0,(J203-K203)*(1+'Retirement Planning'!$J$23/12))</f>
        <v>0</v>
      </c>
      <c r="K204" s="58">
        <f t="shared" ca="1" si="86"/>
        <v>0</v>
      </c>
      <c r="L204" s="57">
        <f>IF(AND(OR(B204&gt;59.5,B204=59.5),B203&lt;59.5),0,(L203-M203)*(1+'Retirement Planning'!$J$23/12))</f>
        <v>0</v>
      </c>
      <c r="M204" s="59">
        <f>IF(AND($B$10&lt;55,B204&lt;59.5),0,IF(B204&lt;59.5,MAX(0,MIN((($Y204+$AJ204+AA204)*'Retirement Planning'!$J$44)-$G204-$X204,L204)),0))</f>
        <v>0</v>
      </c>
      <c r="N204" s="57">
        <f ca="1">(N203-O203)*(1+'Retirement Planning'!$J$23/12)</f>
        <v>0</v>
      </c>
      <c r="O204" s="59">
        <f ca="1">IF(B204&gt;59.5,MAX(0,MIN((AA204+$Y204+$AJ204)*(IF(D204&lt;(MIN(E192:E203)+1),1,'Retirement Planning'!$J$44))-M204-$G204-$X204-(IF(D204&lt;(MIN(E192:E203)+1),D204,0)),N204)),0)</f>
        <v>0</v>
      </c>
      <c r="P204" s="57">
        <f t="shared" ref="P204:P267" si="98">P203-Q203</f>
        <v>0</v>
      </c>
      <c r="Q204" s="58">
        <f t="shared" ref="Q204:Q267" si="99">MIN(AC204+AE204+AH204,P204)</f>
        <v>0</v>
      </c>
      <c r="R204" s="57">
        <f ca="1">(R203-S203-T203)*(1+'Retirement Planning'!$J$23/12)</f>
        <v>461222.0610233036</v>
      </c>
      <c r="S204" s="58">
        <f t="shared" ref="S204:S267" ca="1" si="100">MIN(AD204+AF204+AG204+AI204,R204)</f>
        <v>808.33333333333337</v>
      </c>
      <c r="T204" s="273">
        <f t="shared" ca="1" si="87"/>
        <v>6.8212102632969618E-13</v>
      </c>
      <c r="U204" s="57">
        <f ca="1">(U203-V203)*(1+'Retirement Planning'!$J$23/12)</f>
        <v>347725.67440106574</v>
      </c>
      <c r="V204" s="24">
        <f ca="1">IF(AND($B$10&lt;55,B204&lt;59.5),MIN(U204,MAX(0,(Y204+AA204+AJ204-G204)*'Retirement Planning'!$J$45)),IF(B204&lt;59.5,(MIN(U204,MAX(0,((Y204+AA204+AJ204)-G204-M204)*'Retirement Planning'!$J$45))),MIN(U204,MAX(0,(Y204+AA204+AJ204-G204-M204-K204-X204)*'Retirement Planning'!$J$45))))</f>
        <v>997.12370014510282</v>
      </c>
      <c r="W204" s="7">
        <f t="shared" ca="1" si="88"/>
        <v>2587824.2712162794</v>
      </c>
      <c r="X204" s="7">
        <f>(IF(B204&gt;'Retirement Planning'!$J$34,IF('Retirement Planning'!$J$34=70,'Retirement Planning'!$J$37/12,IF('Retirement Planning'!$J$34=67,'Retirement Planning'!$J$36/12,'Retirement Planning'!$J$35/12)),0))*'Retirement Planning'!$J$38</f>
        <v>1213.6000000000001</v>
      </c>
      <c r="Y204" s="7">
        <f ca="1">'Retirement Planning'!$F$35*((1+'Retirement Planning'!$J$24)^(YEAR('Projected Retirement Drawdown'!C204)-YEAR(TODAY())))</f>
        <v>9002.0374538091073</v>
      </c>
      <c r="Z204" s="7">
        <f ca="1">G204+M204+O204+0.85*X204+V204*'Retirement Planning'!$J$46+T204</f>
        <v>9607.4558053033052</v>
      </c>
      <c r="AA204" s="7">
        <f ca="1">IF(MONTH(C204)=1,(((MIN(MAX(0,((SUM(Z192:Z203)-'Retirement Planning'!$I$53-'Retirement Planning'!$I$54)-'Retirement Planning'!$J$51)*'Retirement Planning'!$I$52))))+(MIN(MAX(0,((SUM(Z192:Z203)-'Retirement Planning'!$I$53-'Retirement Planning'!$I$54)-'Retirement Planning'!$J$50)*'Retirement Planning'!$I$51),('Retirement Planning'!$J$51-'Retirement Planning'!$J$50)*'Retirement Planning'!$I$51))+(MIN(MAX(0,((SUM(Z192:Z203)-'Retirement Planning'!$I$53-'Retirement Planning'!$I$54)-'Retirement Planning'!$J$49)*'Retirement Planning'!$I$50),('Retirement Planning'!$J$50-'Retirement Planning'!$J$49)*'Retirement Planning'!$I$50)+MIN(MAX(0,((SUM(Z192:Z203)-'Retirement Planning'!$I$53-'Retirement Planning'!$I$54)-'Retirement Planning'!$J$48)*'Retirement Planning'!$I$49),('Retirement Planning'!$J$49-'Retirement Planning'!$J$48)*'Retirement Planning'!$I$49)+MIN(((SUM(Z192:Z203)-'Retirement Planning'!$I$53-'Retirement Planning'!$I$54))*'Retirement Planning'!$I$48,('Retirement Planning'!$J$48)*'Retirement Planning'!$I$48))+(IF((SUM(Z192:Z203)-'Retirement Planning'!$I$54-'Retirement Planning'!$I$61)&gt;'Retirement Planning'!$J$59,(SUM(Z192:Z203)-'Retirement Planning'!$I$54-'Retirement Planning'!$I$61-'Retirement Planning'!$J$59)*'Retirement Planning'!$I$60+'Retirement Planning'!$K$59,IF((SUM(Z192:Z203)-'Retirement Planning'!$I$54-'Retirement Planning'!$I$61)&gt;'Retirement Planning'!$J$58,(SUM(Z192:Z203)-'Retirement Planning'!$I$54-'Retirement Planning'!$I$61-'Retirement Planning'!$J$58)*'Retirement Planning'!$I$59+'Retirement Planning'!$K$58,IF((SUM(Z192:Z203)-'Retirement Planning'!$I$54-'Retirement Planning'!$I$61)&gt;'Retirement Planning'!$J$57,(SUM(Z192:Z203)-'Retirement Planning'!$I$54-'Retirement Planning'!$I$61-'Retirement Planning'!$J$57)*'Retirement Planning'!$I$58+'Retirement Planning'!$K$57,IF((SUM(Z192:Z203)-'Retirement Planning'!$I$54-'Retirement Planning'!$I$61)&gt;'Retirement Planning'!$J$56,(SUM(Z192:Z203)-'Retirement Planning'!$I$54-'Retirement Planning'!$I$61-'Retirement Planning'!$J$56)*'Retirement Planning'!$I$57+'Retirement Planning'!$K$56,(SUM(Z192:Z203)-'Retirement Planning'!$I$54-'Retirement Planning'!$I$61)*'Retirement Planning'!$I$56))))))/12,AA203)</f>
        <v>2090.0338674544705</v>
      </c>
      <c r="AB204" s="104">
        <f t="shared" ca="1" si="77"/>
        <v>0.22591377303475318</v>
      </c>
      <c r="AC204" s="7">
        <f>IF(B204&lt;65,'Retirement Planning'!$J$28,0)</f>
        <v>0</v>
      </c>
      <c r="AD204" s="7">
        <f>IF(B204&lt;65,'Retirement Planning'!$J$29/12,0)</f>
        <v>0</v>
      </c>
      <c r="AE204" s="22">
        <f>'Retirement Planning'!$J$31/12</f>
        <v>58.333333333333336</v>
      </c>
      <c r="AF204" s="22">
        <f>'Retirement Planning'!$J$32/12</f>
        <v>66.666666666666671</v>
      </c>
      <c r="AG204" s="7">
        <f>IF($B204&gt;64.9,'Retirement Planning'!$J$39/12,0)</f>
        <v>183.33333333333334</v>
      </c>
      <c r="AH204" s="7">
        <f>IF($B204&gt;64.9,'Retirement Planning'!$J$40/12,0)</f>
        <v>258.33333333333331</v>
      </c>
      <c r="AI204" s="7">
        <f>IF($B204&gt;64.9,'Retirement Planning'!$J$41/12,0)</f>
        <v>558.33333333333337</v>
      </c>
      <c r="AJ204" s="7">
        <f t="shared" ca="1" si="89"/>
        <v>316.66666666666663</v>
      </c>
      <c r="AK204" s="3" t="str">
        <f t="shared" ca="1" si="90"/>
        <v>N/A</v>
      </c>
      <c r="AL204" s="6" t="str">
        <f t="shared" ca="1" si="91"/>
        <v>N/A</v>
      </c>
      <c r="AM204" s="7">
        <f t="shared" ca="1" si="92"/>
        <v>1.0231815394945443E-12</v>
      </c>
      <c r="AN204" s="7">
        <f t="shared" ca="1" si="93"/>
        <v>12217.071321263578</v>
      </c>
      <c r="AO204" s="7">
        <f t="shared" si="94"/>
        <v>1125</v>
      </c>
    </row>
    <row r="205" spans="1:41" x14ac:dyDescent="0.2">
      <c r="A205">
        <f t="shared" si="95"/>
        <v>50</v>
      </c>
      <c r="B205" s="5">
        <f t="shared" si="96"/>
        <v>72.5</v>
      </c>
      <c r="C205" s="56">
        <f t="shared" si="97"/>
        <v>52352</v>
      </c>
      <c r="D205" s="57">
        <f ca="1">IF(AND(B204&lt;59.5,OR(B205&gt;59.5,B205=59.5)),(D204-E204+J204-K204)*(1+'Retirement Planning'!$J$23/12),(D204-E204)*(1+'Retirement Planning'!$J$23/12))</f>
        <v>421473.3264634714</v>
      </c>
      <c r="E205" s="58">
        <f t="shared" ca="1" si="84"/>
        <v>1170.5365175616425</v>
      </c>
      <c r="F205" s="57">
        <f ca="1">IF(AND(OR(B205&gt;59.5,B205=59.5),B204&lt;59.5),(F204-G204+L204-M204+N204-O204)*(1+'Retirement Planning'!$J$23/12),(F204-G204)*(1+'Retirement Planning'!$J$23/12))</f>
        <v>1360740.4179013073</v>
      </c>
      <c r="G205" s="58">
        <f ca="1">IF(AND($B$10&lt;55,B205&lt;59.5),'Retirement Planning'!$J$25,IF(OR(B205&gt;59.5,B205=59.5),MAX(0,MIN(F205,IF(D205&lt;2500,((Y205+AJ205+AA205))-X205,((Y205+AJ205+AA205)*'Retirement Planning'!$J$44)-X205))),0))</f>
        <v>8027.4777702234987</v>
      </c>
      <c r="H205" s="255">
        <f ca="1">IF(MONTH(C205)=1,IF(B205&gt;69.5,F205/(INDEX('Retirement Planning'!D$1:D$264,(160+INT(B205))))/12,0),IF(F205=0,0,H204))</f>
        <v>6925.5215426742798</v>
      </c>
      <c r="I205" s="262">
        <f t="shared" ca="1" si="85"/>
        <v>0</v>
      </c>
      <c r="J205" s="254">
        <f ca="1">IF(AND(B204&lt;59.5,OR(B205=59.5,B205&gt;59.5)),0,(J204-K204)*(1+'Retirement Planning'!$J$23/12))</f>
        <v>0</v>
      </c>
      <c r="K205" s="58">
        <f t="shared" ca="1" si="86"/>
        <v>0</v>
      </c>
      <c r="L205" s="57">
        <f>IF(AND(OR(B205&gt;59.5,B205=59.5),B204&lt;59.5),0,(L204-M204)*(1+'Retirement Planning'!$J$23/12))</f>
        <v>0</v>
      </c>
      <c r="M205" s="59">
        <f>IF(AND($B$10&lt;55,B205&lt;59.5),0,IF(B205&lt;59.5,MAX(0,MIN((($Y205+$AJ205+AA205)*'Retirement Planning'!$J$44)-$G205-$X205,L205)),0))</f>
        <v>0</v>
      </c>
      <c r="N205" s="57">
        <f ca="1">(N204-O204)*(1+'Retirement Planning'!$J$23/12)</f>
        <v>0</v>
      </c>
      <c r="O205" s="59">
        <f ca="1">IF(B205&gt;59.5,MAX(0,MIN((AA205+$Y205+$AJ205)*(IF(D205&lt;(MIN(E193:E204)+1),1,'Retirement Planning'!$J$44))-M205-$G205-$X205-(IF(D205&lt;(MIN(E193:E204)+1),D205,0)),N205)),0)</f>
        <v>0</v>
      </c>
      <c r="P205" s="57">
        <f t="shared" si="98"/>
        <v>0</v>
      </c>
      <c r="Q205" s="58">
        <f t="shared" si="99"/>
        <v>0</v>
      </c>
      <c r="R205" s="57">
        <f ca="1">(R204-S204-T204)*(1+'Retirement Planning'!$J$23/12)</f>
        <v>463674.99159444089</v>
      </c>
      <c r="S205" s="58">
        <f t="shared" ca="1" si="100"/>
        <v>808.33333333333337</v>
      </c>
      <c r="T205" s="273">
        <f t="shared" ca="1" si="87"/>
        <v>6.8212102632969618E-13</v>
      </c>
      <c r="U205" s="57">
        <f ca="1">(U204-V204)*(1+'Retirement Planning'!$J$23/12)</f>
        <v>349184.54460171884</v>
      </c>
      <c r="V205" s="24">
        <f ca="1">IF(AND($B$10&lt;55,B205&lt;59.5),MIN(U205,MAX(0,(Y205+AA205+AJ205-G205)*'Retirement Planning'!$J$45)),IF(B205&lt;59.5,(MIN(U205,MAX(0,((Y205+AA205+AJ205)-G205-M205)*'Retirement Planning'!$J$45))),MIN(U205,MAX(0,(Y205+AA205+AJ205-G205-M205-K205-X205)*'Retirement Planning'!$J$45))))</f>
        <v>997.12370014510282</v>
      </c>
      <c r="W205" s="7">
        <f t="shared" ca="1" si="88"/>
        <v>2595073.2805609386</v>
      </c>
      <c r="X205" s="7">
        <f>(IF(B205&gt;'Retirement Planning'!$J$34,IF('Retirement Planning'!$J$34=70,'Retirement Planning'!$J$37/12,IF('Retirement Planning'!$J$34=67,'Retirement Planning'!$J$36/12,'Retirement Planning'!$J$35/12)),0))*'Retirement Planning'!$J$38</f>
        <v>1213.6000000000001</v>
      </c>
      <c r="Y205" s="7">
        <f ca="1">'Retirement Planning'!$F$35*((1+'Retirement Planning'!$J$24)^(YEAR('Projected Retirement Drawdown'!C205)-YEAR(TODAY())))</f>
        <v>9002.0374538091073</v>
      </c>
      <c r="Z205" s="7">
        <f ca="1">G205+M205+O205+0.85*X205+V205*'Retirement Planning'!$J$46+T205</f>
        <v>9607.4558053033052</v>
      </c>
      <c r="AA205" s="7">
        <f ca="1">IF(MONTH(C205)=1,(((MIN(MAX(0,((SUM(Z193:Z204)-'Retirement Planning'!$I$53-'Retirement Planning'!$I$54)-'Retirement Planning'!$J$51)*'Retirement Planning'!$I$52))))+(MIN(MAX(0,((SUM(Z193:Z204)-'Retirement Planning'!$I$53-'Retirement Planning'!$I$54)-'Retirement Planning'!$J$50)*'Retirement Planning'!$I$51),('Retirement Planning'!$J$51-'Retirement Planning'!$J$50)*'Retirement Planning'!$I$51))+(MIN(MAX(0,((SUM(Z193:Z204)-'Retirement Planning'!$I$53-'Retirement Planning'!$I$54)-'Retirement Planning'!$J$49)*'Retirement Planning'!$I$50),('Retirement Planning'!$J$50-'Retirement Planning'!$J$49)*'Retirement Planning'!$I$50)+MIN(MAX(0,((SUM(Z193:Z204)-'Retirement Planning'!$I$53-'Retirement Planning'!$I$54)-'Retirement Planning'!$J$48)*'Retirement Planning'!$I$49),('Retirement Planning'!$J$49-'Retirement Planning'!$J$48)*'Retirement Planning'!$I$49)+MIN(((SUM(Z193:Z204)-'Retirement Planning'!$I$53-'Retirement Planning'!$I$54))*'Retirement Planning'!$I$48,('Retirement Planning'!$J$48)*'Retirement Planning'!$I$48))+(IF((SUM(Z193:Z204)-'Retirement Planning'!$I$54-'Retirement Planning'!$I$61)&gt;'Retirement Planning'!$J$59,(SUM(Z193:Z204)-'Retirement Planning'!$I$54-'Retirement Planning'!$I$61-'Retirement Planning'!$J$59)*'Retirement Planning'!$I$60+'Retirement Planning'!$K$59,IF((SUM(Z193:Z204)-'Retirement Planning'!$I$54-'Retirement Planning'!$I$61)&gt;'Retirement Planning'!$J$58,(SUM(Z193:Z204)-'Retirement Planning'!$I$54-'Retirement Planning'!$I$61-'Retirement Planning'!$J$58)*'Retirement Planning'!$I$59+'Retirement Planning'!$K$58,IF((SUM(Z193:Z204)-'Retirement Planning'!$I$54-'Retirement Planning'!$I$61)&gt;'Retirement Planning'!$J$57,(SUM(Z193:Z204)-'Retirement Planning'!$I$54-'Retirement Planning'!$I$61-'Retirement Planning'!$J$57)*'Retirement Planning'!$I$58+'Retirement Planning'!$K$57,IF((SUM(Z193:Z204)-'Retirement Planning'!$I$54-'Retirement Planning'!$I$61)&gt;'Retirement Planning'!$J$56,(SUM(Z193:Z204)-'Retirement Planning'!$I$54-'Retirement Planning'!$I$61-'Retirement Planning'!$J$56)*'Retirement Planning'!$I$57+'Retirement Planning'!$K$56,(SUM(Z193:Z204)-'Retirement Planning'!$I$54-'Retirement Planning'!$I$61)*'Retirement Planning'!$I$56))))))/12,AA204)</f>
        <v>2090.0338674544705</v>
      </c>
      <c r="AB205" s="104">
        <f t="shared" ca="1" si="77"/>
        <v>0.22591377303475318</v>
      </c>
      <c r="AC205" s="7">
        <f>IF(B205&lt;65,'Retirement Planning'!$J$28,0)</f>
        <v>0</v>
      </c>
      <c r="AD205" s="7">
        <f>IF(B205&lt;65,'Retirement Planning'!$J$29/12,0)</f>
        <v>0</v>
      </c>
      <c r="AE205" s="22">
        <f>'Retirement Planning'!$J$31/12</f>
        <v>58.333333333333336</v>
      </c>
      <c r="AF205" s="22">
        <f>'Retirement Planning'!$J$32/12</f>
        <v>66.666666666666671</v>
      </c>
      <c r="AG205" s="7">
        <f>IF($B205&gt;64.9,'Retirement Planning'!$J$39/12,0)</f>
        <v>183.33333333333334</v>
      </c>
      <c r="AH205" s="7">
        <f>IF($B205&gt;64.9,'Retirement Planning'!$J$40/12,0)</f>
        <v>258.33333333333331</v>
      </c>
      <c r="AI205" s="7">
        <f>IF($B205&gt;64.9,'Retirement Planning'!$J$41/12,0)</f>
        <v>558.33333333333337</v>
      </c>
      <c r="AJ205" s="7">
        <f t="shared" ca="1" si="89"/>
        <v>316.66666666666663</v>
      </c>
      <c r="AK205" s="3" t="str">
        <f t="shared" ca="1" si="90"/>
        <v>N/A</v>
      </c>
      <c r="AL205" s="6" t="str">
        <f t="shared" ca="1" si="91"/>
        <v>N/A</v>
      </c>
      <c r="AM205" s="7">
        <f t="shared" ca="1" si="92"/>
        <v>1.0231815394945443E-12</v>
      </c>
      <c r="AN205" s="7">
        <f t="shared" ca="1" si="93"/>
        <v>12217.071321263578</v>
      </c>
      <c r="AO205" s="7">
        <f t="shared" si="94"/>
        <v>1125</v>
      </c>
    </row>
    <row r="206" spans="1:41" x14ac:dyDescent="0.2">
      <c r="A206">
        <f t="shared" si="95"/>
        <v>50</v>
      </c>
      <c r="B206" s="5">
        <f t="shared" si="96"/>
        <v>72.599999999999994</v>
      </c>
      <c r="C206" s="56">
        <f t="shared" si="97"/>
        <v>52383</v>
      </c>
      <c r="D206" s="57">
        <f ca="1">IF(AND(B205&lt;59.5,OR(B206&gt;59.5,B206=59.5)),(D205-E205+J205-K205)*(1+'Retirement Planning'!$J$23/12),(D205-E205)*(1+'Retirement Planning'!$J$23/12))</f>
        <v>423279.93470802659</v>
      </c>
      <c r="E206" s="58">
        <f t="shared" ca="1" si="84"/>
        <v>1170.5365175616425</v>
      </c>
      <c r="F206" s="57">
        <f ca="1">IF(AND(OR(B206&gt;59.5,B206=59.5),B205&lt;59.5),(F205-G205+L205-M205+N205-O205)*(1+'Retirement Planning'!$J$23/12),(F205-G205)*(1+'Retirement Planning'!$J$23/12))</f>
        <v>1362294.6567903457</v>
      </c>
      <c r="G206" s="58">
        <f ca="1">IF(AND($B$10&lt;55,B206&lt;59.5),'Retirement Planning'!$J$25,IF(OR(B206&gt;59.5,B206=59.5),MAX(0,MIN(F206,IF(D206&lt;2500,((Y206+AJ206+AA206))-X206,((Y206+AJ206+AA206)*'Retirement Planning'!$J$44)-X206))),0))</f>
        <v>8027.4777702234987</v>
      </c>
      <c r="H206" s="255">
        <f ca="1">IF(MONTH(C206)=1,IF(B206&gt;69.5,F206/(INDEX('Retirement Planning'!D$1:D$264,(160+INT(B206))))/12,0),IF(F206=0,0,H205))</f>
        <v>6925.5215426742798</v>
      </c>
      <c r="I206" s="262">
        <f t="shared" ca="1" si="85"/>
        <v>0</v>
      </c>
      <c r="J206" s="254">
        <f ca="1">IF(AND(B205&lt;59.5,OR(B206=59.5,B206&gt;59.5)),0,(J205-K205)*(1+'Retirement Planning'!$J$23/12))</f>
        <v>0</v>
      </c>
      <c r="K206" s="58">
        <f t="shared" ca="1" si="86"/>
        <v>0</v>
      </c>
      <c r="L206" s="57">
        <f>IF(AND(OR(B206&gt;59.5,B206=59.5),B205&lt;59.5),0,(L205-M205)*(1+'Retirement Planning'!$J$23/12))</f>
        <v>0</v>
      </c>
      <c r="M206" s="59">
        <f>IF(AND($B$10&lt;55,B206&lt;59.5),0,IF(B206&lt;59.5,MAX(0,MIN((($Y206+$AJ206+AA206)*'Retirement Planning'!$J$44)-$G206-$X206,L206)),0))</f>
        <v>0</v>
      </c>
      <c r="N206" s="57">
        <f ca="1">(N205-O205)*(1+'Retirement Planning'!$J$23/12)</f>
        <v>0</v>
      </c>
      <c r="O206" s="59">
        <f ca="1">IF(B206&gt;59.5,MAX(0,MIN((AA206+$Y206+$AJ206)*(IF(D206&lt;(MIN(E194:E205)+1),1,'Retirement Planning'!$J$44))-M206-$G206-$X206-(IF(D206&lt;(MIN(E194:E205)+1),D206,0)),N206)),0)</f>
        <v>0</v>
      </c>
      <c r="P206" s="57">
        <f t="shared" si="98"/>
        <v>0</v>
      </c>
      <c r="Q206" s="58">
        <f t="shared" si="99"/>
        <v>0</v>
      </c>
      <c r="R206" s="57">
        <f ca="1">(R205-S205-T205)*(1+'Retirement Planning'!$J$23/12)</f>
        <v>466145.29709045705</v>
      </c>
      <c r="S206" s="58">
        <f t="shared" ca="1" si="100"/>
        <v>808.33333333333337</v>
      </c>
      <c r="T206" s="273">
        <f t="shared" ca="1" si="87"/>
        <v>6.8212102632969618E-13</v>
      </c>
      <c r="U206" s="57">
        <f ca="1">(U205-V205)*(1+'Retirement Planning'!$J$23/12)</f>
        <v>350653.74846629321</v>
      </c>
      <c r="V206" s="24">
        <f ca="1">IF(AND($B$10&lt;55,B206&lt;59.5),MIN(U206,MAX(0,(Y206+AA206+AJ206-G206)*'Retirement Planning'!$J$45)),IF(B206&lt;59.5,(MIN(U206,MAX(0,((Y206+AA206+AJ206)-G206-M206)*'Retirement Planning'!$J$45))),MIN(U206,MAX(0,(Y206+AA206+AJ206-G206-M206-K206-X206)*'Retirement Planning'!$J$45))))</f>
        <v>997.12370014510282</v>
      </c>
      <c r="W206" s="7">
        <f t="shared" ca="1" si="88"/>
        <v>2602373.6370551223</v>
      </c>
      <c r="X206" s="7">
        <f>(IF(B206&gt;'Retirement Planning'!$J$34,IF('Retirement Planning'!$J$34=70,'Retirement Planning'!$J$37/12,IF('Retirement Planning'!$J$34=67,'Retirement Planning'!$J$36/12,'Retirement Planning'!$J$35/12)),0))*'Retirement Planning'!$J$38</f>
        <v>1213.6000000000001</v>
      </c>
      <c r="Y206" s="7">
        <f ca="1">'Retirement Planning'!$F$35*((1+'Retirement Planning'!$J$24)^(YEAR('Projected Retirement Drawdown'!C206)-YEAR(TODAY())))</f>
        <v>9002.0374538091073</v>
      </c>
      <c r="Z206" s="7">
        <f ca="1">G206+M206+O206+0.85*X206+V206*'Retirement Planning'!$J$46+T206</f>
        <v>9607.4558053033052</v>
      </c>
      <c r="AA206" s="7">
        <f ca="1">IF(MONTH(C206)=1,(((MIN(MAX(0,((SUM(Z194:Z205)-'Retirement Planning'!$I$53-'Retirement Planning'!$I$54)-'Retirement Planning'!$J$51)*'Retirement Planning'!$I$52))))+(MIN(MAX(0,((SUM(Z194:Z205)-'Retirement Planning'!$I$53-'Retirement Planning'!$I$54)-'Retirement Planning'!$J$50)*'Retirement Planning'!$I$51),('Retirement Planning'!$J$51-'Retirement Planning'!$J$50)*'Retirement Planning'!$I$51))+(MIN(MAX(0,((SUM(Z194:Z205)-'Retirement Planning'!$I$53-'Retirement Planning'!$I$54)-'Retirement Planning'!$J$49)*'Retirement Planning'!$I$50),('Retirement Planning'!$J$50-'Retirement Planning'!$J$49)*'Retirement Planning'!$I$50)+MIN(MAX(0,((SUM(Z194:Z205)-'Retirement Planning'!$I$53-'Retirement Planning'!$I$54)-'Retirement Planning'!$J$48)*'Retirement Planning'!$I$49),('Retirement Planning'!$J$49-'Retirement Planning'!$J$48)*'Retirement Planning'!$I$49)+MIN(((SUM(Z194:Z205)-'Retirement Planning'!$I$53-'Retirement Planning'!$I$54))*'Retirement Planning'!$I$48,('Retirement Planning'!$J$48)*'Retirement Planning'!$I$48))+(IF((SUM(Z194:Z205)-'Retirement Planning'!$I$54-'Retirement Planning'!$I$61)&gt;'Retirement Planning'!$J$59,(SUM(Z194:Z205)-'Retirement Planning'!$I$54-'Retirement Planning'!$I$61-'Retirement Planning'!$J$59)*'Retirement Planning'!$I$60+'Retirement Planning'!$K$59,IF((SUM(Z194:Z205)-'Retirement Planning'!$I$54-'Retirement Planning'!$I$61)&gt;'Retirement Planning'!$J$58,(SUM(Z194:Z205)-'Retirement Planning'!$I$54-'Retirement Planning'!$I$61-'Retirement Planning'!$J$58)*'Retirement Planning'!$I$59+'Retirement Planning'!$K$58,IF((SUM(Z194:Z205)-'Retirement Planning'!$I$54-'Retirement Planning'!$I$61)&gt;'Retirement Planning'!$J$57,(SUM(Z194:Z205)-'Retirement Planning'!$I$54-'Retirement Planning'!$I$61-'Retirement Planning'!$J$57)*'Retirement Planning'!$I$58+'Retirement Planning'!$K$57,IF((SUM(Z194:Z205)-'Retirement Planning'!$I$54-'Retirement Planning'!$I$61)&gt;'Retirement Planning'!$J$56,(SUM(Z194:Z205)-'Retirement Planning'!$I$54-'Retirement Planning'!$I$61-'Retirement Planning'!$J$56)*'Retirement Planning'!$I$57+'Retirement Planning'!$K$56,(SUM(Z194:Z205)-'Retirement Planning'!$I$54-'Retirement Planning'!$I$61)*'Retirement Planning'!$I$56))))))/12,AA205)</f>
        <v>2090.0338674544705</v>
      </c>
      <c r="AB206" s="104">
        <f t="shared" ca="1" si="77"/>
        <v>0.22591377303475318</v>
      </c>
      <c r="AC206" s="7">
        <f>IF(B206&lt;65,'Retirement Planning'!$J$28,0)</f>
        <v>0</v>
      </c>
      <c r="AD206" s="7">
        <f>IF(B206&lt;65,'Retirement Planning'!$J$29/12,0)</f>
        <v>0</v>
      </c>
      <c r="AE206" s="22">
        <f>'Retirement Planning'!$J$31/12</f>
        <v>58.333333333333336</v>
      </c>
      <c r="AF206" s="22">
        <f>'Retirement Planning'!$J$32/12</f>
        <v>66.666666666666671</v>
      </c>
      <c r="AG206" s="7">
        <f>IF($B206&gt;64.9,'Retirement Planning'!$J$39/12,0)</f>
        <v>183.33333333333334</v>
      </c>
      <c r="AH206" s="7">
        <f>IF($B206&gt;64.9,'Retirement Planning'!$J$40/12,0)</f>
        <v>258.33333333333331</v>
      </c>
      <c r="AI206" s="7">
        <f>IF($B206&gt;64.9,'Retirement Planning'!$J$41/12,0)</f>
        <v>558.33333333333337</v>
      </c>
      <c r="AJ206" s="7">
        <f t="shared" ca="1" si="89"/>
        <v>316.66666666666663</v>
      </c>
      <c r="AK206" s="3" t="str">
        <f t="shared" ca="1" si="90"/>
        <v>N/A</v>
      </c>
      <c r="AL206" s="6" t="str">
        <f t="shared" ca="1" si="91"/>
        <v>N/A</v>
      </c>
      <c r="AM206" s="7">
        <f t="shared" ca="1" si="92"/>
        <v>1.0231815394945443E-12</v>
      </c>
      <c r="AN206" s="7">
        <f t="shared" ca="1" si="93"/>
        <v>12217.071321263578</v>
      </c>
      <c r="AO206" s="7">
        <f t="shared" si="94"/>
        <v>1125</v>
      </c>
    </row>
    <row r="207" spans="1:41" x14ac:dyDescent="0.2">
      <c r="A207">
        <f t="shared" si="95"/>
        <v>50</v>
      </c>
      <c r="B207" s="5">
        <f t="shared" si="96"/>
        <v>72.7</v>
      </c>
      <c r="C207" s="56">
        <f t="shared" si="97"/>
        <v>52413</v>
      </c>
      <c r="D207" s="57">
        <f ca="1">IF(AND(B206&lt;59.5,OR(B207&gt;59.5,B207=59.5)),(D206-E206+J206-K206)*(1+'Retirement Planning'!$J$23/12),(D206-E206)*(1+'Retirement Planning'!$J$23/12))</f>
        <v>425099.33976098074</v>
      </c>
      <c r="E207" s="58">
        <f t="shared" ca="1" si="84"/>
        <v>1170.5365175616425</v>
      </c>
      <c r="F207" s="57">
        <f ca="1">IF(AND(OR(B207&gt;59.5,B207=59.5),B206&lt;59.5),(F206-G206+L206-M206+N206-O206)*(1+'Retirement Planning'!$J$23/12),(F206-G206)*(1+'Retirement Planning'!$J$23/12))</f>
        <v>1363859.9048715148</v>
      </c>
      <c r="G207" s="58">
        <f ca="1">IF(AND($B$10&lt;55,B207&lt;59.5),'Retirement Planning'!$J$25,IF(OR(B207&gt;59.5,B207=59.5),MAX(0,MIN(F207,IF(D207&lt;2500,((Y207+AJ207+AA207))-X207,((Y207+AJ207+AA207)*'Retirement Planning'!$J$44)-X207))),0))</f>
        <v>8027.4777702234987</v>
      </c>
      <c r="H207" s="255">
        <f ca="1">IF(MONTH(C207)=1,IF(B207&gt;69.5,F207/(INDEX('Retirement Planning'!D$1:D$264,(160+INT(B207))))/12,0),IF(F207=0,0,H206))</f>
        <v>6925.5215426742798</v>
      </c>
      <c r="I207" s="262">
        <f t="shared" ca="1" si="85"/>
        <v>0</v>
      </c>
      <c r="J207" s="254">
        <f ca="1">IF(AND(B206&lt;59.5,OR(B207=59.5,B207&gt;59.5)),0,(J206-K206)*(1+'Retirement Planning'!$J$23/12))</f>
        <v>0</v>
      </c>
      <c r="K207" s="58">
        <f t="shared" ca="1" si="86"/>
        <v>0</v>
      </c>
      <c r="L207" s="57">
        <f>IF(AND(OR(B207&gt;59.5,B207=59.5),B206&lt;59.5),0,(L206-M206)*(1+'Retirement Planning'!$J$23/12))</f>
        <v>0</v>
      </c>
      <c r="M207" s="59">
        <f>IF(AND($B$10&lt;55,B207&lt;59.5),0,IF(B207&lt;59.5,MAX(0,MIN((($Y207+$AJ207+AA207)*'Retirement Planning'!$J$44)-$G207-$X207,L207)),0))</f>
        <v>0</v>
      </c>
      <c r="N207" s="57">
        <f ca="1">(N206-O206)*(1+'Retirement Planning'!$J$23/12)</f>
        <v>0</v>
      </c>
      <c r="O207" s="59">
        <f ca="1">IF(B207&gt;59.5,MAX(0,MIN((AA207+$Y207+$AJ207)*(IF(D207&lt;(MIN(E195:E206)+1),1,'Retirement Planning'!$J$44))-M207-$G207-$X207-(IF(D207&lt;(MIN(E195:E206)+1),D207,0)),N207)),0)</f>
        <v>0</v>
      </c>
      <c r="P207" s="57">
        <f t="shared" si="98"/>
        <v>0</v>
      </c>
      <c r="Q207" s="58">
        <f t="shared" si="99"/>
        <v>0</v>
      </c>
      <c r="R207" s="57">
        <f ca="1">(R206-S206-T206)*(1+'Retirement Planning'!$J$23/12)</f>
        <v>468633.10058373673</v>
      </c>
      <c r="S207" s="58">
        <f t="shared" ca="1" si="100"/>
        <v>808.33333333333337</v>
      </c>
      <c r="T207" s="273">
        <f t="shared" ca="1" si="87"/>
        <v>6.8212102632969618E-13</v>
      </c>
      <c r="U207" s="57">
        <f ca="1">(U206-V206)*(1+'Retirement Planning'!$J$23/12)</f>
        <v>352133.35919157497</v>
      </c>
      <c r="V207" s="24">
        <f ca="1">IF(AND($B$10&lt;55,B207&lt;59.5),MIN(U207,MAX(0,(Y207+AA207+AJ207-G207)*'Retirement Planning'!$J$45)),IF(B207&lt;59.5,(MIN(U207,MAX(0,((Y207+AA207+AJ207)-G207-M207)*'Retirement Planning'!$J$45))),MIN(U207,MAX(0,(Y207+AA207+AJ207-G207-M207-K207-X207)*'Retirement Planning'!$J$45))))</f>
        <v>997.12370014510282</v>
      </c>
      <c r="W207" s="7">
        <f t="shared" ca="1" si="88"/>
        <v>2609725.7044078074</v>
      </c>
      <c r="X207" s="7">
        <f>(IF(B207&gt;'Retirement Planning'!$J$34,IF('Retirement Planning'!$J$34=70,'Retirement Planning'!$J$37/12,IF('Retirement Planning'!$J$34=67,'Retirement Planning'!$J$36/12,'Retirement Planning'!$J$35/12)),0))*'Retirement Planning'!$J$38</f>
        <v>1213.6000000000001</v>
      </c>
      <c r="Y207" s="7">
        <f ca="1">'Retirement Planning'!$F$35*((1+'Retirement Planning'!$J$24)^(YEAR('Projected Retirement Drawdown'!C207)-YEAR(TODAY())))</f>
        <v>9002.0374538091073</v>
      </c>
      <c r="Z207" s="7">
        <f ca="1">G207+M207+O207+0.85*X207+V207*'Retirement Planning'!$J$46+T207</f>
        <v>9607.4558053033052</v>
      </c>
      <c r="AA207" s="7">
        <f ca="1">IF(MONTH(C207)=1,(((MIN(MAX(0,((SUM(Z195:Z206)-'Retirement Planning'!$I$53-'Retirement Planning'!$I$54)-'Retirement Planning'!$J$51)*'Retirement Planning'!$I$52))))+(MIN(MAX(0,((SUM(Z195:Z206)-'Retirement Planning'!$I$53-'Retirement Planning'!$I$54)-'Retirement Planning'!$J$50)*'Retirement Planning'!$I$51),('Retirement Planning'!$J$51-'Retirement Planning'!$J$50)*'Retirement Planning'!$I$51))+(MIN(MAX(0,((SUM(Z195:Z206)-'Retirement Planning'!$I$53-'Retirement Planning'!$I$54)-'Retirement Planning'!$J$49)*'Retirement Planning'!$I$50),('Retirement Planning'!$J$50-'Retirement Planning'!$J$49)*'Retirement Planning'!$I$50)+MIN(MAX(0,((SUM(Z195:Z206)-'Retirement Planning'!$I$53-'Retirement Planning'!$I$54)-'Retirement Planning'!$J$48)*'Retirement Planning'!$I$49),('Retirement Planning'!$J$49-'Retirement Planning'!$J$48)*'Retirement Planning'!$I$49)+MIN(((SUM(Z195:Z206)-'Retirement Planning'!$I$53-'Retirement Planning'!$I$54))*'Retirement Planning'!$I$48,('Retirement Planning'!$J$48)*'Retirement Planning'!$I$48))+(IF((SUM(Z195:Z206)-'Retirement Planning'!$I$54-'Retirement Planning'!$I$61)&gt;'Retirement Planning'!$J$59,(SUM(Z195:Z206)-'Retirement Planning'!$I$54-'Retirement Planning'!$I$61-'Retirement Planning'!$J$59)*'Retirement Planning'!$I$60+'Retirement Planning'!$K$59,IF((SUM(Z195:Z206)-'Retirement Planning'!$I$54-'Retirement Planning'!$I$61)&gt;'Retirement Planning'!$J$58,(SUM(Z195:Z206)-'Retirement Planning'!$I$54-'Retirement Planning'!$I$61-'Retirement Planning'!$J$58)*'Retirement Planning'!$I$59+'Retirement Planning'!$K$58,IF((SUM(Z195:Z206)-'Retirement Planning'!$I$54-'Retirement Planning'!$I$61)&gt;'Retirement Planning'!$J$57,(SUM(Z195:Z206)-'Retirement Planning'!$I$54-'Retirement Planning'!$I$61-'Retirement Planning'!$J$57)*'Retirement Planning'!$I$58+'Retirement Planning'!$K$57,IF((SUM(Z195:Z206)-'Retirement Planning'!$I$54-'Retirement Planning'!$I$61)&gt;'Retirement Planning'!$J$56,(SUM(Z195:Z206)-'Retirement Planning'!$I$54-'Retirement Planning'!$I$61-'Retirement Planning'!$J$56)*'Retirement Planning'!$I$57+'Retirement Planning'!$K$56,(SUM(Z195:Z206)-'Retirement Planning'!$I$54-'Retirement Planning'!$I$61)*'Retirement Planning'!$I$56))))))/12,AA206)</f>
        <v>2090.0338674544705</v>
      </c>
      <c r="AB207" s="104">
        <f t="shared" ca="1" si="77"/>
        <v>0.22591377303475318</v>
      </c>
      <c r="AC207" s="7">
        <f>IF(B207&lt;65,'Retirement Planning'!$J$28,0)</f>
        <v>0</v>
      </c>
      <c r="AD207" s="7">
        <f>IF(B207&lt;65,'Retirement Planning'!$J$29/12,0)</f>
        <v>0</v>
      </c>
      <c r="AE207" s="22">
        <f>'Retirement Planning'!$J$31/12</f>
        <v>58.333333333333336</v>
      </c>
      <c r="AF207" s="22">
        <f>'Retirement Planning'!$J$32/12</f>
        <v>66.666666666666671</v>
      </c>
      <c r="AG207" s="7">
        <f>IF($B207&gt;64.9,'Retirement Planning'!$J$39/12,0)</f>
        <v>183.33333333333334</v>
      </c>
      <c r="AH207" s="7">
        <f>IF($B207&gt;64.9,'Retirement Planning'!$J$40/12,0)</f>
        <v>258.33333333333331</v>
      </c>
      <c r="AI207" s="7">
        <f>IF($B207&gt;64.9,'Retirement Planning'!$J$41/12,0)</f>
        <v>558.33333333333337</v>
      </c>
      <c r="AJ207" s="7">
        <f t="shared" ca="1" si="89"/>
        <v>316.66666666666663</v>
      </c>
      <c r="AK207" s="3" t="str">
        <f t="shared" ca="1" si="90"/>
        <v>N/A</v>
      </c>
      <c r="AL207" s="6" t="str">
        <f t="shared" ca="1" si="91"/>
        <v>N/A</v>
      </c>
      <c r="AM207" s="7">
        <f t="shared" ca="1" si="92"/>
        <v>1.0231815394945443E-12</v>
      </c>
      <c r="AN207" s="7">
        <f t="shared" ca="1" si="93"/>
        <v>12217.071321263578</v>
      </c>
      <c r="AO207" s="7">
        <f t="shared" si="94"/>
        <v>1125</v>
      </c>
    </row>
    <row r="208" spans="1:41" x14ac:dyDescent="0.2">
      <c r="A208">
        <f t="shared" si="95"/>
        <v>50</v>
      </c>
      <c r="B208" s="5">
        <f t="shared" si="96"/>
        <v>72.8</v>
      </c>
      <c r="C208" s="56">
        <f t="shared" si="97"/>
        <v>52444</v>
      </c>
      <c r="D208" s="57">
        <f ca="1">IF(AND(B207&lt;59.5,OR(B208&gt;59.5,B208=59.5)),(D207-E207+J207-K207)*(1+'Retirement Planning'!$J$23/12),(D207-E207)*(1+'Retirement Planning'!$J$23/12))</f>
        <v>426931.63226639334</v>
      </c>
      <c r="E208" s="58">
        <f t="shared" ca="1" si="84"/>
        <v>1170.5365175616425</v>
      </c>
      <c r="F208" s="57">
        <f ca="1">IF(AND(OR(B208&gt;59.5,B208=59.5),B207&lt;59.5),(F207-G207+L207-M207+N207-O207)*(1+'Retirement Planning'!$J$23/12),(F207-G207)*(1+'Retirement Planning'!$J$23/12))</f>
        <v>1365436.2401265921</v>
      </c>
      <c r="G208" s="58">
        <f ca="1">IF(AND($B$10&lt;55,B208&lt;59.5),'Retirement Planning'!$J$25,IF(OR(B208&gt;59.5,B208=59.5),MAX(0,MIN(F208,IF(D208&lt;2500,((Y208+AJ208+AA208))-X208,((Y208+AJ208+AA208)*'Retirement Planning'!$J$44)-X208))),0))</f>
        <v>8027.4777702234987</v>
      </c>
      <c r="H208" s="255">
        <f ca="1">IF(MONTH(C208)=1,IF(B208&gt;69.5,F208/(INDEX('Retirement Planning'!D$1:D$264,(160+INT(B208))))/12,0),IF(F208=0,0,H207))</f>
        <v>6925.5215426742798</v>
      </c>
      <c r="I208" s="262">
        <f t="shared" ca="1" si="85"/>
        <v>0</v>
      </c>
      <c r="J208" s="254">
        <f ca="1">IF(AND(B207&lt;59.5,OR(B208=59.5,B208&gt;59.5)),0,(J207-K207)*(1+'Retirement Planning'!$J$23/12))</f>
        <v>0</v>
      </c>
      <c r="K208" s="58">
        <f t="shared" ca="1" si="86"/>
        <v>0</v>
      </c>
      <c r="L208" s="57">
        <f>IF(AND(OR(B208&gt;59.5,B208=59.5),B207&lt;59.5),0,(L207-M207)*(1+'Retirement Planning'!$J$23/12))</f>
        <v>0</v>
      </c>
      <c r="M208" s="59">
        <f>IF(AND($B$10&lt;55,B208&lt;59.5),0,IF(B208&lt;59.5,MAX(0,MIN((($Y208+$AJ208+AA208)*'Retirement Planning'!$J$44)-$G208-$X208,L208)),0))</f>
        <v>0</v>
      </c>
      <c r="N208" s="57">
        <f ca="1">(N207-O207)*(1+'Retirement Planning'!$J$23/12)</f>
        <v>0</v>
      </c>
      <c r="O208" s="59">
        <f ca="1">IF(B208&gt;59.5,MAX(0,MIN((AA208+$Y208+$AJ208)*(IF(D208&lt;(MIN(E196:E207)+1),1,'Retirement Planning'!$J$44))-M208-$G208-$X208-(IF(D208&lt;(MIN(E196:E207)+1),D208,0)),N208)),0)</f>
        <v>0</v>
      </c>
      <c r="P208" s="57">
        <f t="shared" si="98"/>
        <v>0</v>
      </c>
      <c r="Q208" s="58">
        <f t="shared" si="99"/>
        <v>0</v>
      </c>
      <c r="R208" s="57">
        <f ca="1">(R207-S207-T207)*(1+'Retirement Planning'!$J$23/12)</f>
        <v>471138.5260184271</v>
      </c>
      <c r="S208" s="58">
        <f t="shared" ca="1" si="100"/>
        <v>808.33333333333337</v>
      </c>
      <c r="T208" s="273">
        <f t="shared" ca="1" si="87"/>
        <v>6.8212102632969618E-13</v>
      </c>
      <c r="U208" s="57">
        <f ca="1">(U207-V207)*(1+'Retirement Planning'!$J$23/12)</f>
        <v>353623.45049282751</v>
      </c>
      <c r="V208" s="24">
        <f ca="1">IF(AND($B$10&lt;55,B208&lt;59.5),MIN(U208,MAX(0,(Y208+AA208+AJ208-G208)*'Retirement Planning'!$J$45)),IF(B208&lt;59.5,(MIN(U208,MAX(0,((Y208+AA208+AJ208)-G208-M208)*'Retirement Planning'!$J$45))),MIN(U208,MAX(0,(Y208+AA208+AJ208-G208-M208-K208-X208)*'Retirement Planning'!$J$45))))</f>
        <v>997.12370014510282</v>
      </c>
      <c r="W208" s="7">
        <f t="shared" ca="1" si="88"/>
        <v>2617129.8489042404</v>
      </c>
      <c r="X208" s="7">
        <f>(IF(B208&gt;'Retirement Planning'!$J$34,IF('Retirement Planning'!$J$34=70,'Retirement Planning'!$J$37/12,IF('Retirement Planning'!$J$34=67,'Retirement Planning'!$J$36/12,'Retirement Planning'!$J$35/12)),0))*'Retirement Planning'!$J$38</f>
        <v>1213.6000000000001</v>
      </c>
      <c r="Y208" s="7">
        <f ca="1">'Retirement Planning'!$F$35*((1+'Retirement Planning'!$J$24)^(YEAR('Projected Retirement Drawdown'!C208)-YEAR(TODAY())))</f>
        <v>9002.0374538091073</v>
      </c>
      <c r="Z208" s="7">
        <f ca="1">G208+M208+O208+0.85*X208+V208*'Retirement Planning'!$J$46+T208</f>
        <v>9607.4558053033052</v>
      </c>
      <c r="AA208" s="7">
        <f ca="1">IF(MONTH(C208)=1,(((MIN(MAX(0,((SUM(Z196:Z207)-'Retirement Planning'!$I$53-'Retirement Planning'!$I$54)-'Retirement Planning'!$J$51)*'Retirement Planning'!$I$52))))+(MIN(MAX(0,((SUM(Z196:Z207)-'Retirement Planning'!$I$53-'Retirement Planning'!$I$54)-'Retirement Planning'!$J$50)*'Retirement Planning'!$I$51),('Retirement Planning'!$J$51-'Retirement Planning'!$J$50)*'Retirement Planning'!$I$51))+(MIN(MAX(0,((SUM(Z196:Z207)-'Retirement Planning'!$I$53-'Retirement Planning'!$I$54)-'Retirement Planning'!$J$49)*'Retirement Planning'!$I$50),('Retirement Planning'!$J$50-'Retirement Planning'!$J$49)*'Retirement Planning'!$I$50)+MIN(MAX(0,((SUM(Z196:Z207)-'Retirement Planning'!$I$53-'Retirement Planning'!$I$54)-'Retirement Planning'!$J$48)*'Retirement Planning'!$I$49),('Retirement Planning'!$J$49-'Retirement Planning'!$J$48)*'Retirement Planning'!$I$49)+MIN(((SUM(Z196:Z207)-'Retirement Planning'!$I$53-'Retirement Planning'!$I$54))*'Retirement Planning'!$I$48,('Retirement Planning'!$J$48)*'Retirement Planning'!$I$48))+(IF((SUM(Z196:Z207)-'Retirement Planning'!$I$54-'Retirement Planning'!$I$61)&gt;'Retirement Planning'!$J$59,(SUM(Z196:Z207)-'Retirement Planning'!$I$54-'Retirement Planning'!$I$61-'Retirement Planning'!$J$59)*'Retirement Planning'!$I$60+'Retirement Planning'!$K$59,IF((SUM(Z196:Z207)-'Retirement Planning'!$I$54-'Retirement Planning'!$I$61)&gt;'Retirement Planning'!$J$58,(SUM(Z196:Z207)-'Retirement Planning'!$I$54-'Retirement Planning'!$I$61-'Retirement Planning'!$J$58)*'Retirement Planning'!$I$59+'Retirement Planning'!$K$58,IF((SUM(Z196:Z207)-'Retirement Planning'!$I$54-'Retirement Planning'!$I$61)&gt;'Retirement Planning'!$J$57,(SUM(Z196:Z207)-'Retirement Planning'!$I$54-'Retirement Planning'!$I$61-'Retirement Planning'!$J$57)*'Retirement Planning'!$I$58+'Retirement Planning'!$K$57,IF((SUM(Z196:Z207)-'Retirement Planning'!$I$54-'Retirement Planning'!$I$61)&gt;'Retirement Planning'!$J$56,(SUM(Z196:Z207)-'Retirement Planning'!$I$54-'Retirement Planning'!$I$61-'Retirement Planning'!$J$56)*'Retirement Planning'!$I$57+'Retirement Planning'!$K$56,(SUM(Z196:Z207)-'Retirement Planning'!$I$54-'Retirement Planning'!$I$61)*'Retirement Planning'!$I$56))))))/12,AA207)</f>
        <v>2090.0338674544705</v>
      </c>
      <c r="AB208" s="104">
        <f t="shared" ca="1" si="77"/>
        <v>0.22591377303475318</v>
      </c>
      <c r="AC208" s="7">
        <f>IF(B208&lt;65,'Retirement Planning'!$J$28,0)</f>
        <v>0</v>
      </c>
      <c r="AD208" s="7">
        <f>IF(B208&lt;65,'Retirement Planning'!$J$29/12,0)</f>
        <v>0</v>
      </c>
      <c r="AE208" s="22">
        <f>'Retirement Planning'!$J$31/12</f>
        <v>58.333333333333336</v>
      </c>
      <c r="AF208" s="22">
        <f>'Retirement Planning'!$J$32/12</f>
        <v>66.666666666666671</v>
      </c>
      <c r="AG208" s="7">
        <f>IF($B208&gt;64.9,'Retirement Planning'!$J$39/12,0)</f>
        <v>183.33333333333334</v>
      </c>
      <c r="AH208" s="7">
        <f>IF($B208&gt;64.9,'Retirement Planning'!$J$40/12,0)</f>
        <v>258.33333333333331</v>
      </c>
      <c r="AI208" s="7">
        <f>IF($B208&gt;64.9,'Retirement Planning'!$J$41/12,0)</f>
        <v>558.33333333333337</v>
      </c>
      <c r="AJ208" s="7">
        <f t="shared" ca="1" si="89"/>
        <v>316.66666666666663</v>
      </c>
      <c r="AK208" s="3" t="str">
        <f t="shared" ca="1" si="90"/>
        <v>N/A</v>
      </c>
      <c r="AL208" s="6" t="str">
        <f t="shared" ca="1" si="91"/>
        <v>N/A</v>
      </c>
      <c r="AM208" s="7">
        <f t="shared" ca="1" si="92"/>
        <v>1.0231815394945443E-12</v>
      </c>
      <c r="AN208" s="7">
        <f t="shared" ca="1" si="93"/>
        <v>12217.071321263578</v>
      </c>
      <c r="AO208" s="7">
        <f t="shared" si="94"/>
        <v>1125</v>
      </c>
    </row>
    <row r="209" spans="1:41" x14ac:dyDescent="0.2">
      <c r="A209">
        <f t="shared" si="95"/>
        <v>50</v>
      </c>
      <c r="B209" s="5">
        <f t="shared" si="96"/>
        <v>72.900000000000006</v>
      </c>
      <c r="C209" s="56">
        <f t="shared" si="97"/>
        <v>52475</v>
      </c>
      <c r="D209" s="57">
        <f ca="1">IF(AND(B208&lt;59.5,OR(B209&gt;59.5,B209=59.5)),(D208-E208+J208-K208)*(1+'Retirement Planning'!$J$23/12),(D208-E208)*(1+'Retirement Planning'!$J$23/12))</f>
        <v>428776.90351038589</v>
      </c>
      <c r="E209" s="58">
        <f t="shared" ca="1" si="84"/>
        <v>1170.5365175616425</v>
      </c>
      <c r="F209" s="57">
        <f ca="1">IF(AND(OR(B209&gt;59.5,B209=59.5),B208&lt;59.5),(F208-G208+L208-M208+N208-O208)*(1+'Retirement Planning'!$J$23/12),(F208-G208)*(1+'Retirement Planning'!$J$23/12))</f>
        <v>1367023.7410897261</v>
      </c>
      <c r="G209" s="58">
        <f ca="1">IF(AND($B$10&lt;55,B209&lt;59.5),'Retirement Planning'!$J$25,IF(OR(B209&gt;59.5,B209=59.5),MAX(0,MIN(F209,IF(D209&lt;2500,((Y209+AJ209+AA209))-X209,((Y209+AJ209+AA209)*'Retirement Planning'!$J$44)-X209))),0))</f>
        <v>8027.4777702234987</v>
      </c>
      <c r="H209" s="255">
        <f ca="1">IF(MONTH(C209)=1,IF(B209&gt;69.5,F209/(INDEX('Retirement Planning'!D$1:D$264,(160+INT(B209))))/12,0),IF(F209=0,0,H208))</f>
        <v>6925.5215426742798</v>
      </c>
      <c r="I209" s="262">
        <f t="shared" ca="1" si="85"/>
        <v>0</v>
      </c>
      <c r="J209" s="254">
        <f ca="1">IF(AND(B208&lt;59.5,OR(B209=59.5,B209&gt;59.5)),0,(J208-K208)*(1+'Retirement Planning'!$J$23/12))</f>
        <v>0</v>
      </c>
      <c r="K209" s="58">
        <f t="shared" ca="1" si="86"/>
        <v>0</v>
      </c>
      <c r="L209" s="57">
        <f>IF(AND(OR(B209&gt;59.5,B209=59.5),B208&lt;59.5),0,(L208-M208)*(1+'Retirement Planning'!$J$23/12))</f>
        <v>0</v>
      </c>
      <c r="M209" s="59">
        <f>IF(AND($B$10&lt;55,B209&lt;59.5),0,IF(B209&lt;59.5,MAX(0,MIN((($Y209+$AJ209+AA209)*'Retirement Planning'!$J$44)-$G209-$X209,L209)),0))</f>
        <v>0</v>
      </c>
      <c r="N209" s="57">
        <f ca="1">(N208-O208)*(1+'Retirement Planning'!$J$23/12)</f>
        <v>0</v>
      </c>
      <c r="O209" s="59">
        <f ca="1">IF(B209&gt;59.5,MAX(0,MIN((AA209+$Y209+$AJ209)*(IF(D209&lt;(MIN(E197:E208)+1),1,'Retirement Planning'!$J$44))-M209-$G209-$X209-(IF(D209&lt;(MIN(E197:E208)+1),D209,0)),N209)),0)</f>
        <v>0</v>
      </c>
      <c r="P209" s="57">
        <f t="shared" si="98"/>
        <v>0</v>
      </c>
      <c r="Q209" s="58">
        <f t="shared" si="99"/>
        <v>0</v>
      </c>
      <c r="R209" s="57">
        <f ca="1">(R208-S208-T208)*(1+'Retirement Planning'!$J$23/12)</f>
        <v>473661.69821661321</v>
      </c>
      <c r="S209" s="58">
        <f t="shared" ca="1" si="100"/>
        <v>808.33333333333337</v>
      </c>
      <c r="T209" s="273">
        <f t="shared" ca="1" si="87"/>
        <v>6.8212102632969618E-13</v>
      </c>
      <c r="U209" s="57">
        <f ca="1">(U208-V208)*(1+'Retirement Planning'!$J$23/12)</f>
        <v>355124.0966074639</v>
      </c>
      <c r="V209" s="24">
        <f ca="1">IF(AND($B$10&lt;55,B209&lt;59.5),MIN(U209,MAX(0,(Y209+AA209+AJ209-G209)*'Retirement Planning'!$J$45)),IF(B209&lt;59.5,(MIN(U209,MAX(0,((Y209+AA209+AJ209)-G209-M209)*'Retirement Planning'!$J$45))),MIN(U209,MAX(0,(Y209+AA209+AJ209-G209-M209-K209-X209)*'Retirement Planning'!$J$45))))</f>
        <v>997.12370014510282</v>
      </c>
      <c r="W209" s="7">
        <f t="shared" ca="1" si="88"/>
        <v>2624586.4394241893</v>
      </c>
      <c r="X209" s="7">
        <f>(IF(B209&gt;'Retirement Planning'!$J$34,IF('Retirement Planning'!$J$34=70,'Retirement Planning'!$J$37/12,IF('Retirement Planning'!$J$34=67,'Retirement Planning'!$J$36/12,'Retirement Planning'!$J$35/12)),0))*'Retirement Planning'!$J$38</f>
        <v>1213.6000000000001</v>
      </c>
      <c r="Y209" s="7">
        <f ca="1">'Retirement Planning'!$F$35*((1+'Retirement Planning'!$J$24)^(YEAR('Projected Retirement Drawdown'!C209)-YEAR(TODAY())))</f>
        <v>9002.0374538091073</v>
      </c>
      <c r="Z209" s="7">
        <f ca="1">G209+M209+O209+0.85*X209+V209*'Retirement Planning'!$J$46+T209</f>
        <v>9607.4558053033052</v>
      </c>
      <c r="AA209" s="7">
        <f ca="1">IF(MONTH(C209)=1,(((MIN(MAX(0,((SUM(Z197:Z208)-'Retirement Planning'!$I$53-'Retirement Planning'!$I$54)-'Retirement Planning'!$J$51)*'Retirement Planning'!$I$52))))+(MIN(MAX(0,((SUM(Z197:Z208)-'Retirement Planning'!$I$53-'Retirement Planning'!$I$54)-'Retirement Planning'!$J$50)*'Retirement Planning'!$I$51),('Retirement Planning'!$J$51-'Retirement Planning'!$J$50)*'Retirement Planning'!$I$51))+(MIN(MAX(0,((SUM(Z197:Z208)-'Retirement Planning'!$I$53-'Retirement Planning'!$I$54)-'Retirement Planning'!$J$49)*'Retirement Planning'!$I$50),('Retirement Planning'!$J$50-'Retirement Planning'!$J$49)*'Retirement Planning'!$I$50)+MIN(MAX(0,((SUM(Z197:Z208)-'Retirement Planning'!$I$53-'Retirement Planning'!$I$54)-'Retirement Planning'!$J$48)*'Retirement Planning'!$I$49),('Retirement Planning'!$J$49-'Retirement Planning'!$J$48)*'Retirement Planning'!$I$49)+MIN(((SUM(Z197:Z208)-'Retirement Planning'!$I$53-'Retirement Planning'!$I$54))*'Retirement Planning'!$I$48,('Retirement Planning'!$J$48)*'Retirement Planning'!$I$48))+(IF((SUM(Z197:Z208)-'Retirement Planning'!$I$54-'Retirement Planning'!$I$61)&gt;'Retirement Planning'!$J$59,(SUM(Z197:Z208)-'Retirement Planning'!$I$54-'Retirement Planning'!$I$61-'Retirement Planning'!$J$59)*'Retirement Planning'!$I$60+'Retirement Planning'!$K$59,IF((SUM(Z197:Z208)-'Retirement Planning'!$I$54-'Retirement Planning'!$I$61)&gt;'Retirement Planning'!$J$58,(SUM(Z197:Z208)-'Retirement Planning'!$I$54-'Retirement Planning'!$I$61-'Retirement Planning'!$J$58)*'Retirement Planning'!$I$59+'Retirement Planning'!$K$58,IF((SUM(Z197:Z208)-'Retirement Planning'!$I$54-'Retirement Planning'!$I$61)&gt;'Retirement Planning'!$J$57,(SUM(Z197:Z208)-'Retirement Planning'!$I$54-'Retirement Planning'!$I$61-'Retirement Planning'!$J$57)*'Retirement Planning'!$I$58+'Retirement Planning'!$K$57,IF((SUM(Z197:Z208)-'Retirement Planning'!$I$54-'Retirement Planning'!$I$61)&gt;'Retirement Planning'!$J$56,(SUM(Z197:Z208)-'Retirement Planning'!$I$54-'Retirement Planning'!$I$61-'Retirement Planning'!$J$56)*'Retirement Planning'!$I$57+'Retirement Planning'!$K$56,(SUM(Z197:Z208)-'Retirement Planning'!$I$54-'Retirement Planning'!$I$61)*'Retirement Planning'!$I$56))))))/12,AA208)</f>
        <v>2090.0338674544705</v>
      </c>
      <c r="AB209" s="104">
        <f t="shared" ca="1" si="77"/>
        <v>0.22591377303475318</v>
      </c>
      <c r="AC209" s="7">
        <f>IF(B209&lt;65,'Retirement Planning'!$J$28,0)</f>
        <v>0</v>
      </c>
      <c r="AD209" s="7">
        <f>IF(B209&lt;65,'Retirement Planning'!$J$29/12,0)</f>
        <v>0</v>
      </c>
      <c r="AE209" s="22">
        <f>'Retirement Planning'!$J$31/12</f>
        <v>58.333333333333336</v>
      </c>
      <c r="AF209" s="22">
        <f>'Retirement Planning'!$J$32/12</f>
        <v>66.666666666666671</v>
      </c>
      <c r="AG209" s="7">
        <f>IF($B209&gt;64.9,'Retirement Planning'!$J$39/12,0)</f>
        <v>183.33333333333334</v>
      </c>
      <c r="AH209" s="7">
        <f>IF($B209&gt;64.9,'Retirement Planning'!$J$40/12,0)</f>
        <v>258.33333333333331</v>
      </c>
      <c r="AI209" s="7">
        <f>IF($B209&gt;64.9,'Retirement Planning'!$J$41/12,0)</f>
        <v>558.33333333333337</v>
      </c>
      <c r="AJ209" s="7">
        <f t="shared" ca="1" si="89"/>
        <v>316.66666666666663</v>
      </c>
      <c r="AK209" s="3" t="str">
        <f t="shared" ca="1" si="90"/>
        <v>N/A</v>
      </c>
      <c r="AL209" s="6" t="str">
        <f t="shared" ca="1" si="91"/>
        <v>N/A</v>
      </c>
      <c r="AM209" s="7">
        <f t="shared" ca="1" si="92"/>
        <v>1.0231815394945443E-12</v>
      </c>
      <c r="AN209" s="7">
        <f t="shared" ca="1" si="93"/>
        <v>12217.071321263578</v>
      </c>
      <c r="AO209" s="7">
        <f t="shared" si="94"/>
        <v>1125</v>
      </c>
    </row>
    <row r="210" spans="1:41" x14ac:dyDescent="0.2">
      <c r="A210">
        <f t="shared" si="95"/>
        <v>50</v>
      </c>
      <c r="B210" s="5">
        <f t="shared" si="96"/>
        <v>73</v>
      </c>
      <c r="C210" s="56">
        <f t="shared" si="97"/>
        <v>52505</v>
      </c>
      <c r="D210" s="57">
        <f ca="1">IF(AND(B209&lt;59.5,OR(B210&gt;59.5,B210=59.5)),(D209-E209+J209-K209)*(1+'Retirement Planning'!$J$23/12),(D209-E209)*(1+'Retirement Planning'!$J$23/12))</f>
        <v>430635.24542569008</v>
      </c>
      <c r="E210" s="58">
        <f t="shared" ca="1" si="84"/>
        <v>1170.5365175616425</v>
      </c>
      <c r="F210" s="57">
        <f ca="1">IF(AND(OR(B210&gt;59.5,B210=59.5),B209&lt;59.5),(F209-G209+L209-M209+N209-O209)*(1+'Retirement Planning'!$J$23/12),(F209-G209)*(1+'Retirement Planning'!$J$23/12))</f>
        <v>1368622.486851349</v>
      </c>
      <c r="G210" s="58">
        <f ca="1">IF(AND($B$10&lt;55,B210&lt;59.5),'Retirement Planning'!$J$25,IF(OR(B210&gt;59.5,B210=59.5),MAX(0,MIN(F210,IF(D210&lt;2500,((Y210+AJ210+AA210))-X210,((Y210+AJ210+AA210)*'Retirement Planning'!$J$44)-X210))),0))</f>
        <v>8027.4777702234987</v>
      </c>
      <c r="H210" s="255">
        <f ca="1">IF(MONTH(C210)=1,IF(B210&gt;69.5,F210/(INDEX('Retirement Planning'!D$1:D$264,(160+INT(B210))))/12,0),IF(F210=0,0,H209))</f>
        <v>6925.5215426742798</v>
      </c>
      <c r="I210" s="262">
        <f t="shared" ca="1" si="85"/>
        <v>0</v>
      </c>
      <c r="J210" s="254">
        <f ca="1">IF(AND(B209&lt;59.5,OR(B210=59.5,B210&gt;59.5)),0,(J209-K209)*(1+'Retirement Planning'!$J$23/12))</f>
        <v>0</v>
      </c>
      <c r="K210" s="58">
        <f t="shared" ca="1" si="86"/>
        <v>0</v>
      </c>
      <c r="L210" s="57">
        <f>IF(AND(OR(B210&gt;59.5,B210=59.5),B209&lt;59.5),0,(L209-M209)*(1+'Retirement Planning'!$J$23/12))</f>
        <v>0</v>
      </c>
      <c r="M210" s="59">
        <f>IF(AND($B$10&lt;55,B210&lt;59.5),0,IF(B210&lt;59.5,MAX(0,MIN((($Y210+$AJ210+AA210)*'Retirement Planning'!$J$44)-$G210-$X210,L210)),0))</f>
        <v>0</v>
      </c>
      <c r="N210" s="57">
        <f ca="1">(N209-O209)*(1+'Retirement Planning'!$J$23/12)</f>
        <v>0</v>
      </c>
      <c r="O210" s="59">
        <f ca="1">IF(B210&gt;59.5,MAX(0,MIN((AA210+$Y210+$AJ210)*(IF(D210&lt;(MIN(E198:E209)+1),1,'Retirement Planning'!$J$44))-M210-$G210-$X210-(IF(D210&lt;(MIN(E198:E209)+1),D210,0)),N210)),0)</f>
        <v>0</v>
      </c>
      <c r="P210" s="57">
        <f t="shared" si="98"/>
        <v>0</v>
      </c>
      <c r="Q210" s="58">
        <f t="shared" si="99"/>
        <v>0</v>
      </c>
      <c r="R210" s="57">
        <f ca="1">(R209-S209-T209)*(1+'Retirement Planning'!$J$23/12)</f>
        <v>476202.74288453645</v>
      </c>
      <c r="S210" s="58">
        <f t="shared" ca="1" si="100"/>
        <v>808.33333333333337</v>
      </c>
      <c r="T210" s="273">
        <f t="shared" ca="1" si="87"/>
        <v>6.8212102632969618E-13</v>
      </c>
      <c r="U210" s="57">
        <f ca="1">(U209-V209)*(1+'Retirement Planning'!$J$23/12)</f>
        <v>356635.37229874561</v>
      </c>
      <c r="V210" s="24">
        <f ca="1">IF(AND($B$10&lt;55,B210&lt;59.5),MIN(U210,MAX(0,(Y210+AA210+AJ210-G210)*'Retirement Planning'!$J$45)),IF(B210&lt;59.5,(MIN(U210,MAX(0,((Y210+AA210+AJ210)-G210-M210)*'Retirement Planning'!$J$45))),MIN(U210,MAX(0,(Y210+AA210+AJ210-G210-M210-K210-X210)*'Retirement Planning'!$J$45))))</f>
        <v>997.12370014510282</v>
      </c>
      <c r="W210" s="7">
        <f t="shared" ca="1" si="88"/>
        <v>2632095.8474603207</v>
      </c>
      <c r="X210" s="7">
        <f>(IF(B210&gt;'Retirement Planning'!$J$34,IF('Retirement Planning'!$J$34=70,'Retirement Planning'!$J$37/12,IF('Retirement Planning'!$J$34=67,'Retirement Planning'!$J$36/12,'Retirement Planning'!$J$35/12)),0))*'Retirement Planning'!$J$38</f>
        <v>1213.6000000000001</v>
      </c>
      <c r="Y210" s="7">
        <f ca="1">'Retirement Planning'!$F$35*((1+'Retirement Planning'!$J$24)^(YEAR('Projected Retirement Drawdown'!C210)-YEAR(TODAY())))</f>
        <v>9002.0374538091073</v>
      </c>
      <c r="Z210" s="7">
        <f ca="1">G210+M210+O210+0.85*X210+V210*'Retirement Planning'!$J$46+T210</f>
        <v>9607.4558053033052</v>
      </c>
      <c r="AA210" s="7">
        <f ca="1">IF(MONTH(C210)=1,(((MIN(MAX(0,((SUM(Z198:Z209)-'Retirement Planning'!$I$53-'Retirement Planning'!$I$54)-'Retirement Planning'!$J$51)*'Retirement Planning'!$I$52))))+(MIN(MAX(0,((SUM(Z198:Z209)-'Retirement Planning'!$I$53-'Retirement Planning'!$I$54)-'Retirement Planning'!$J$50)*'Retirement Planning'!$I$51),('Retirement Planning'!$J$51-'Retirement Planning'!$J$50)*'Retirement Planning'!$I$51))+(MIN(MAX(0,((SUM(Z198:Z209)-'Retirement Planning'!$I$53-'Retirement Planning'!$I$54)-'Retirement Planning'!$J$49)*'Retirement Planning'!$I$50),('Retirement Planning'!$J$50-'Retirement Planning'!$J$49)*'Retirement Planning'!$I$50)+MIN(MAX(0,((SUM(Z198:Z209)-'Retirement Planning'!$I$53-'Retirement Planning'!$I$54)-'Retirement Planning'!$J$48)*'Retirement Planning'!$I$49),('Retirement Planning'!$J$49-'Retirement Planning'!$J$48)*'Retirement Planning'!$I$49)+MIN(((SUM(Z198:Z209)-'Retirement Planning'!$I$53-'Retirement Planning'!$I$54))*'Retirement Planning'!$I$48,('Retirement Planning'!$J$48)*'Retirement Planning'!$I$48))+(IF((SUM(Z198:Z209)-'Retirement Planning'!$I$54-'Retirement Planning'!$I$61)&gt;'Retirement Planning'!$J$59,(SUM(Z198:Z209)-'Retirement Planning'!$I$54-'Retirement Planning'!$I$61-'Retirement Planning'!$J$59)*'Retirement Planning'!$I$60+'Retirement Planning'!$K$59,IF((SUM(Z198:Z209)-'Retirement Planning'!$I$54-'Retirement Planning'!$I$61)&gt;'Retirement Planning'!$J$58,(SUM(Z198:Z209)-'Retirement Planning'!$I$54-'Retirement Planning'!$I$61-'Retirement Planning'!$J$58)*'Retirement Planning'!$I$59+'Retirement Planning'!$K$58,IF((SUM(Z198:Z209)-'Retirement Planning'!$I$54-'Retirement Planning'!$I$61)&gt;'Retirement Planning'!$J$57,(SUM(Z198:Z209)-'Retirement Planning'!$I$54-'Retirement Planning'!$I$61-'Retirement Planning'!$J$57)*'Retirement Planning'!$I$58+'Retirement Planning'!$K$57,IF((SUM(Z198:Z209)-'Retirement Planning'!$I$54-'Retirement Planning'!$I$61)&gt;'Retirement Planning'!$J$56,(SUM(Z198:Z209)-'Retirement Planning'!$I$54-'Retirement Planning'!$I$61-'Retirement Planning'!$J$56)*'Retirement Planning'!$I$57+'Retirement Planning'!$K$56,(SUM(Z198:Z209)-'Retirement Planning'!$I$54-'Retirement Planning'!$I$61)*'Retirement Planning'!$I$56))))))/12,AA209)</f>
        <v>2090.0338674544705</v>
      </c>
      <c r="AB210" s="104">
        <f t="shared" ca="1" si="77"/>
        <v>0.22591377303475318</v>
      </c>
      <c r="AC210" s="7">
        <f>IF(B210&lt;65,'Retirement Planning'!$J$28,0)</f>
        <v>0</v>
      </c>
      <c r="AD210" s="7">
        <f>IF(B210&lt;65,'Retirement Planning'!$J$29/12,0)</f>
        <v>0</v>
      </c>
      <c r="AE210" s="22">
        <f>'Retirement Planning'!$J$31/12</f>
        <v>58.333333333333336</v>
      </c>
      <c r="AF210" s="22">
        <f>'Retirement Planning'!$J$32/12</f>
        <v>66.666666666666671</v>
      </c>
      <c r="AG210" s="7">
        <f>IF($B210&gt;64.9,'Retirement Planning'!$J$39/12,0)</f>
        <v>183.33333333333334</v>
      </c>
      <c r="AH210" s="7">
        <f>IF($B210&gt;64.9,'Retirement Planning'!$J$40/12,0)</f>
        <v>258.33333333333331</v>
      </c>
      <c r="AI210" s="7">
        <f>IF($B210&gt;64.9,'Retirement Planning'!$J$41/12,0)</f>
        <v>558.33333333333337</v>
      </c>
      <c r="AJ210" s="7">
        <f t="shared" ca="1" si="89"/>
        <v>316.66666666666663</v>
      </c>
      <c r="AK210" s="3" t="str">
        <f t="shared" ca="1" si="90"/>
        <v>N/A</v>
      </c>
      <c r="AL210" s="6" t="str">
        <f t="shared" ca="1" si="91"/>
        <v>N/A</v>
      </c>
      <c r="AM210" s="7">
        <f t="shared" ca="1" si="92"/>
        <v>1.0231815394945443E-12</v>
      </c>
      <c r="AN210" s="7">
        <f t="shared" ca="1" si="93"/>
        <v>12217.071321263578</v>
      </c>
      <c r="AO210" s="7">
        <f t="shared" si="94"/>
        <v>1125</v>
      </c>
    </row>
    <row r="211" spans="1:41" x14ac:dyDescent="0.2">
      <c r="A211">
        <f t="shared" si="95"/>
        <v>50</v>
      </c>
      <c r="B211" s="5">
        <f t="shared" si="96"/>
        <v>73</v>
      </c>
      <c r="C211" s="56">
        <f t="shared" si="97"/>
        <v>52536</v>
      </c>
      <c r="D211" s="57">
        <f ca="1">IF(AND(B210&lt;59.5,OR(B211&gt;59.5,B211=59.5)),(D210-E210+J210-K210)*(1+'Retirement Planning'!$J$23/12),(D210-E210)*(1+'Retirement Planning'!$J$23/12))</f>
        <v>432506.75059622771</v>
      </c>
      <c r="E211" s="58">
        <f t="shared" ca="1" si="84"/>
        <v>1170.5365175616425</v>
      </c>
      <c r="F211" s="57">
        <f ca="1">IF(AND(OR(B211&gt;59.5,B211=59.5),B210&lt;59.5),(F210-G210+L210-M210+N210-O210)*(1+'Retirement Planning'!$J$23/12),(F210-G210)*(1+'Retirement Planning'!$J$23/12))</f>
        <v>1370232.5570621167</v>
      </c>
      <c r="G211" s="58">
        <f ca="1">IF(AND($B$10&lt;55,B211&lt;59.5),'Retirement Planning'!$J$25,IF(OR(B211&gt;59.5,B211=59.5),MAX(0,MIN(F211,IF(D211&lt;2500,((Y211+AJ211+AA211))-X211,((Y211+AJ211+AA211)*'Retirement Planning'!$J$44)-X211))),0))</f>
        <v>8027.4777702234987</v>
      </c>
      <c r="H211" s="255">
        <f ca="1">IF(MONTH(C211)=1,IF(B211&gt;69.5,F211/(INDEX('Retirement Planning'!D$1:D$264,(160+INT(B211))))/12,0),IF(F211=0,0,H210))</f>
        <v>6925.5215426742798</v>
      </c>
      <c r="I211" s="262">
        <f t="shared" ca="1" si="85"/>
        <v>0</v>
      </c>
      <c r="J211" s="254">
        <f ca="1">IF(AND(B210&lt;59.5,OR(B211=59.5,B211&gt;59.5)),0,(J210-K210)*(1+'Retirement Planning'!$J$23/12))</f>
        <v>0</v>
      </c>
      <c r="K211" s="58">
        <f t="shared" ca="1" si="86"/>
        <v>0</v>
      </c>
      <c r="L211" s="57">
        <f>IF(AND(OR(B211&gt;59.5,B211=59.5),B210&lt;59.5),0,(L210-M210)*(1+'Retirement Planning'!$J$23/12))</f>
        <v>0</v>
      </c>
      <c r="M211" s="59">
        <f>IF(AND($B$10&lt;55,B211&lt;59.5),0,IF(B211&lt;59.5,MAX(0,MIN((($Y211+$AJ211+AA211)*'Retirement Planning'!$J$44)-$G211-$X211,L211)),0))</f>
        <v>0</v>
      </c>
      <c r="N211" s="57">
        <f ca="1">(N210-O210)*(1+'Retirement Planning'!$J$23/12)</f>
        <v>0</v>
      </c>
      <c r="O211" s="59">
        <f ca="1">IF(B211&gt;59.5,MAX(0,MIN((AA211+$Y211+$AJ211)*(IF(D211&lt;(MIN(E199:E210)+1),1,'Retirement Planning'!$J$44))-M211-$G211-$X211-(IF(D211&lt;(MIN(E199:E210)+1),D211,0)),N211)),0)</f>
        <v>0</v>
      </c>
      <c r="P211" s="57">
        <f t="shared" si="98"/>
        <v>0</v>
      </c>
      <c r="Q211" s="58">
        <f t="shared" si="99"/>
        <v>0</v>
      </c>
      <c r="R211" s="57">
        <f ca="1">(R210-S210-T210)*(1+'Retirement Planning'!$J$23/12)</f>
        <v>478761.78661885747</v>
      </c>
      <c r="S211" s="58">
        <f t="shared" ca="1" si="100"/>
        <v>808.33333333333337</v>
      </c>
      <c r="T211" s="273">
        <f t="shared" ca="1" si="87"/>
        <v>6.8212102632969618E-13</v>
      </c>
      <c r="U211" s="57">
        <f ca="1">(U210-V210)*(1+'Retirement Planning'!$J$23/12)</f>
        <v>358157.35285950726</v>
      </c>
      <c r="V211" s="24">
        <f ca="1">IF(AND($B$10&lt;55,B211&lt;59.5),MIN(U211,MAX(0,(Y211+AA211+AJ211-G211)*'Retirement Planning'!$J$45)),IF(B211&lt;59.5,(MIN(U211,MAX(0,((Y211+AA211+AJ211)-G211-M211)*'Retirement Planning'!$J$45))),MIN(U211,MAX(0,(Y211+AA211+AJ211-G211-M211-K211-X211)*'Retirement Planning'!$J$45))))</f>
        <v>997.12370014510282</v>
      </c>
      <c r="W211" s="7">
        <f t="shared" ca="1" si="88"/>
        <v>2639658.4471367095</v>
      </c>
      <c r="X211" s="7">
        <f>(IF(B211&gt;'Retirement Planning'!$J$34,IF('Retirement Planning'!$J$34=70,'Retirement Planning'!$J$37/12,IF('Retirement Planning'!$J$34=67,'Retirement Planning'!$J$36/12,'Retirement Planning'!$J$35/12)),0))*'Retirement Planning'!$J$38</f>
        <v>1213.6000000000001</v>
      </c>
      <c r="Y211" s="7">
        <f ca="1">'Retirement Planning'!$F$35*((1+'Retirement Planning'!$J$24)^(YEAR('Projected Retirement Drawdown'!C211)-YEAR(TODAY())))</f>
        <v>9002.0374538091073</v>
      </c>
      <c r="Z211" s="7">
        <f ca="1">G211+M211+O211+0.85*X211+V211*'Retirement Planning'!$J$46+T211</f>
        <v>9607.4558053033052</v>
      </c>
      <c r="AA211" s="7">
        <f ca="1">IF(MONTH(C211)=1,(((MIN(MAX(0,((SUM(Z199:Z210)-'Retirement Planning'!$I$53-'Retirement Planning'!$I$54)-'Retirement Planning'!$J$51)*'Retirement Planning'!$I$52))))+(MIN(MAX(0,((SUM(Z199:Z210)-'Retirement Planning'!$I$53-'Retirement Planning'!$I$54)-'Retirement Planning'!$J$50)*'Retirement Planning'!$I$51),('Retirement Planning'!$J$51-'Retirement Planning'!$J$50)*'Retirement Planning'!$I$51))+(MIN(MAX(0,((SUM(Z199:Z210)-'Retirement Planning'!$I$53-'Retirement Planning'!$I$54)-'Retirement Planning'!$J$49)*'Retirement Planning'!$I$50),('Retirement Planning'!$J$50-'Retirement Planning'!$J$49)*'Retirement Planning'!$I$50)+MIN(MAX(0,((SUM(Z199:Z210)-'Retirement Planning'!$I$53-'Retirement Planning'!$I$54)-'Retirement Planning'!$J$48)*'Retirement Planning'!$I$49),('Retirement Planning'!$J$49-'Retirement Planning'!$J$48)*'Retirement Planning'!$I$49)+MIN(((SUM(Z199:Z210)-'Retirement Planning'!$I$53-'Retirement Planning'!$I$54))*'Retirement Planning'!$I$48,('Retirement Planning'!$J$48)*'Retirement Planning'!$I$48))+(IF((SUM(Z199:Z210)-'Retirement Planning'!$I$54-'Retirement Planning'!$I$61)&gt;'Retirement Planning'!$J$59,(SUM(Z199:Z210)-'Retirement Planning'!$I$54-'Retirement Planning'!$I$61-'Retirement Planning'!$J$59)*'Retirement Planning'!$I$60+'Retirement Planning'!$K$59,IF((SUM(Z199:Z210)-'Retirement Planning'!$I$54-'Retirement Planning'!$I$61)&gt;'Retirement Planning'!$J$58,(SUM(Z199:Z210)-'Retirement Planning'!$I$54-'Retirement Planning'!$I$61-'Retirement Planning'!$J$58)*'Retirement Planning'!$I$59+'Retirement Planning'!$K$58,IF((SUM(Z199:Z210)-'Retirement Planning'!$I$54-'Retirement Planning'!$I$61)&gt;'Retirement Planning'!$J$57,(SUM(Z199:Z210)-'Retirement Planning'!$I$54-'Retirement Planning'!$I$61-'Retirement Planning'!$J$57)*'Retirement Planning'!$I$58+'Retirement Planning'!$K$57,IF((SUM(Z199:Z210)-'Retirement Planning'!$I$54-'Retirement Planning'!$I$61)&gt;'Retirement Planning'!$J$56,(SUM(Z199:Z210)-'Retirement Planning'!$I$54-'Retirement Planning'!$I$61-'Retirement Planning'!$J$56)*'Retirement Planning'!$I$57+'Retirement Planning'!$K$56,(SUM(Z199:Z210)-'Retirement Planning'!$I$54-'Retirement Planning'!$I$61)*'Retirement Planning'!$I$56))))))/12,AA210)</f>
        <v>2090.0338674544705</v>
      </c>
      <c r="AB211" s="104">
        <f t="shared" ca="1" si="77"/>
        <v>0.22591377303475318</v>
      </c>
      <c r="AC211" s="7">
        <f>IF(B211&lt;65,'Retirement Planning'!$J$28,0)</f>
        <v>0</v>
      </c>
      <c r="AD211" s="7">
        <f>IF(B211&lt;65,'Retirement Planning'!$J$29/12,0)</f>
        <v>0</v>
      </c>
      <c r="AE211" s="22">
        <f>'Retirement Planning'!$J$31/12</f>
        <v>58.333333333333336</v>
      </c>
      <c r="AF211" s="22">
        <f>'Retirement Planning'!$J$32/12</f>
        <v>66.666666666666671</v>
      </c>
      <c r="AG211" s="7">
        <f>IF($B211&gt;64.9,'Retirement Planning'!$J$39/12,0)</f>
        <v>183.33333333333334</v>
      </c>
      <c r="AH211" s="7">
        <f>IF($B211&gt;64.9,'Retirement Planning'!$J$40/12,0)</f>
        <v>258.33333333333331</v>
      </c>
      <c r="AI211" s="7">
        <f>IF($B211&gt;64.9,'Retirement Planning'!$J$41/12,0)</f>
        <v>558.33333333333337</v>
      </c>
      <c r="AJ211" s="7">
        <f t="shared" ca="1" si="89"/>
        <v>316.66666666666663</v>
      </c>
      <c r="AK211" s="3" t="str">
        <f t="shared" ca="1" si="90"/>
        <v>N/A</v>
      </c>
      <c r="AL211" s="6" t="str">
        <f t="shared" ca="1" si="91"/>
        <v>N/A</v>
      </c>
      <c r="AM211" s="7">
        <f t="shared" ca="1" si="92"/>
        <v>1.0231815394945443E-12</v>
      </c>
      <c r="AN211" s="7">
        <f t="shared" ca="1" si="93"/>
        <v>12217.071321263578</v>
      </c>
      <c r="AO211" s="7">
        <f t="shared" si="94"/>
        <v>1125</v>
      </c>
    </row>
    <row r="212" spans="1:41" x14ac:dyDescent="0.2">
      <c r="A212">
        <f t="shared" si="95"/>
        <v>50</v>
      </c>
      <c r="B212" s="5">
        <f t="shared" si="96"/>
        <v>73.099999999999994</v>
      </c>
      <c r="C212" s="56">
        <f t="shared" si="97"/>
        <v>52566</v>
      </c>
      <c r="D212" s="57">
        <f ca="1">IF(AND(B211&lt;59.5,OR(B212&gt;59.5,B212=59.5)),(D211-E211+J211-K211)*(1+'Retirement Planning'!$J$23/12),(D211-E211)*(1+'Retirement Planning'!$J$23/12))</f>
        <v>434391.51226172328</v>
      </c>
      <c r="E212" s="58">
        <f t="shared" ca="1" si="84"/>
        <v>1170.5365175616425</v>
      </c>
      <c r="F212" s="57">
        <f ca="1">IF(AND(OR(B212&gt;59.5,B212=59.5),B211&lt;59.5),(F211-G211+L211-M211+N211-O211)*(1+'Retirement Planning'!$J$23/12),(F211-G211)*(1+'Retirement Planning'!$J$23/12))</f>
        <v>1371854.0319368774</v>
      </c>
      <c r="G212" s="58">
        <f ca="1">IF(AND($B$10&lt;55,B212&lt;59.5),'Retirement Planning'!$J$25,IF(OR(B212&gt;59.5,B212=59.5),MAX(0,MIN(F212,IF(D212&lt;2500,((Y212+AJ212+AA212))-X212,((Y212+AJ212+AA212)*'Retirement Planning'!$J$44)-X212))),0))</f>
        <v>8027.4777702234987</v>
      </c>
      <c r="H212" s="255">
        <f ca="1">IF(MONTH(C212)=1,IF(B212&gt;69.5,F212/(INDEX('Retirement Planning'!D$1:D$264,(160+INT(B212))))/12,0),IF(F212=0,0,H211))</f>
        <v>6925.5215426742798</v>
      </c>
      <c r="I212" s="262">
        <f t="shared" ca="1" si="85"/>
        <v>0</v>
      </c>
      <c r="J212" s="254">
        <f ca="1">IF(AND(B211&lt;59.5,OR(B212=59.5,B212&gt;59.5)),0,(J211-K211)*(1+'Retirement Planning'!$J$23/12))</f>
        <v>0</v>
      </c>
      <c r="K212" s="58">
        <f t="shared" ca="1" si="86"/>
        <v>0</v>
      </c>
      <c r="L212" s="57">
        <f>IF(AND(OR(B212&gt;59.5,B212=59.5),B211&lt;59.5),0,(L211-M211)*(1+'Retirement Planning'!$J$23/12))</f>
        <v>0</v>
      </c>
      <c r="M212" s="59">
        <f>IF(AND($B$10&lt;55,B212&lt;59.5),0,IF(B212&lt;59.5,MAX(0,MIN((($Y212+$AJ212+AA212)*'Retirement Planning'!$J$44)-$G212-$X212,L212)),0))</f>
        <v>0</v>
      </c>
      <c r="N212" s="57">
        <f ca="1">(N211-O211)*(1+'Retirement Planning'!$J$23/12)</f>
        <v>0</v>
      </c>
      <c r="O212" s="59">
        <f ca="1">IF(B212&gt;59.5,MAX(0,MIN((AA212+$Y212+$AJ212)*(IF(D212&lt;(MIN(E200:E211)+1),1,'Retirement Planning'!$J$44))-M212-$G212-$X212-(IF(D212&lt;(MIN(E200:E211)+1),D212,0)),N212)),0)</f>
        <v>0</v>
      </c>
      <c r="P212" s="57">
        <f t="shared" si="98"/>
        <v>0</v>
      </c>
      <c r="Q212" s="58">
        <f t="shared" si="99"/>
        <v>0</v>
      </c>
      <c r="R212" s="57">
        <f ca="1">(R211-S211-T211)*(1+'Retirement Planning'!$J$23/12)</f>
        <v>481338.9569129633</v>
      </c>
      <c r="S212" s="58">
        <f t="shared" ca="1" si="100"/>
        <v>808.33333333333337</v>
      </c>
      <c r="T212" s="273">
        <f t="shared" ca="1" si="87"/>
        <v>6.8212102632969618E-13</v>
      </c>
      <c r="U212" s="57">
        <f ca="1">(U211-V211)*(1+'Retirement Planning'!$J$23/12)</f>
        <v>359690.11411590764</v>
      </c>
      <c r="V212" s="24">
        <f ca="1">IF(AND($B$10&lt;55,B212&lt;59.5),MIN(U212,MAX(0,(Y212+AA212+AJ212-G212)*'Retirement Planning'!$J$45)),IF(B212&lt;59.5,(MIN(U212,MAX(0,((Y212+AA212+AJ212)-G212-M212)*'Retirement Planning'!$J$45))),MIN(U212,MAX(0,(Y212+AA212+AJ212-G212-M212-K212-X212)*'Retirement Planning'!$J$45))))</f>
        <v>997.12370014510282</v>
      </c>
      <c r="W212" s="7">
        <f t="shared" ca="1" si="88"/>
        <v>2647274.6152274716</v>
      </c>
      <c r="X212" s="7">
        <f>(IF(B212&gt;'Retirement Planning'!$J$34,IF('Retirement Planning'!$J$34=70,'Retirement Planning'!$J$37/12,IF('Retirement Planning'!$J$34=67,'Retirement Planning'!$J$36/12,'Retirement Planning'!$J$35/12)),0))*'Retirement Planning'!$J$38</f>
        <v>1213.6000000000001</v>
      </c>
      <c r="Y212" s="7">
        <f ca="1">'Retirement Planning'!$F$35*((1+'Retirement Planning'!$J$24)^(YEAR('Projected Retirement Drawdown'!C212)-YEAR(TODAY())))</f>
        <v>9002.0374538091073</v>
      </c>
      <c r="Z212" s="7">
        <f ca="1">G212+M212+O212+0.85*X212+V212*'Retirement Planning'!$J$46+T212</f>
        <v>9607.4558053033052</v>
      </c>
      <c r="AA212" s="7">
        <f ca="1">IF(MONTH(C212)=1,(((MIN(MAX(0,((SUM(Z200:Z211)-'Retirement Planning'!$I$53-'Retirement Planning'!$I$54)-'Retirement Planning'!$J$51)*'Retirement Planning'!$I$52))))+(MIN(MAX(0,((SUM(Z200:Z211)-'Retirement Planning'!$I$53-'Retirement Planning'!$I$54)-'Retirement Planning'!$J$50)*'Retirement Planning'!$I$51),('Retirement Planning'!$J$51-'Retirement Planning'!$J$50)*'Retirement Planning'!$I$51))+(MIN(MAX(0,((SUM(Z200:Z211)-'Retirement Planning'!$I$53-'Retirement Planning'!$I$54)-'Retirement Planning'!$J$49)*'Retirement Planning'!$I$50),('Retirement Planning'!$J$50-'Retirement Planning'!$J$49)*'Retirement Planning'!$I$50)+MIN(MAX(0,((SUM(Z200:Z211)-'Retirement Planning'!$I$53-'Retirement Planning'!$I$54)-'Retirement Planning'!$J$48)*'Retirement Planning'!$I$49),('Retirement Planning'!$J$49-'Retirement Planning'!$J$48)*'Retirement Planning'!$I$49)+MIN(((SUM(Z200:Z211)-'Retirement Planning'!$I$53-'Retirement Planning'!$I$54))*'Retirement Planning'!$I$48,('Retirement Planning'!$J$48)*'Retirement Planning'!$I$48))+(IF((SUM(Z200:Z211)-'Retirement Planning'!$I$54-'Retirement Planning'!$I$61)&gt;'Retirement Planning'!$J$59,(SUM(Z200:Z211)-'Retirement Planning'!$I$54-'Retirement Planning'!$I$61-'Retirement Planning'!$J$59)*'Retirement Planning'!$I$60+'Retirement Planning'!$K$59,IF((SUM(Z200:Z211)-'Retirement Planning'!$I$54-'Retirement Planning'!$I$61)&gt;'Retirement Planning'!$J$58,(SUM(Z200:Z211)-'Retirement Planning'!$I$54-'Retirement Planning'!$I$61-'Retirement Planning'!$J$58)*'Retirement Planning'!$I$59+'Retirement Planning'!$K$58,IF((SUM(Z200:Z211)-'Retirement Planning'!$I$54-'Retirement Planning'!$I$61)&gt;'Retirement Planning'!$J$57,(SUM(Z200:Z211)-'Retirement Planning'!$I$54-'Retirement Planning'!$I$61-'Retirement Planning'!$J$57)*'Retirement Planning'!$I$58+'Retirement Planning'!$K$57,IF((SUM(Z200:Z211)-'Retirement Planning'!$I$54-'Retirement Planning'!$I$61)&gt;'Retirement Planning'!$J$56,(SUM(Z200:Z211)-'Retirement Planning'!$I$54-'Retirement Planning'!$I$61-'Retirement Planning'!$J$56)*'Retirement Planning'!$I$57+'Retirement Planning'!$K$56,(SUM(Z200:Z211)-'Retirement Planning'!$I$54-'Retirement Planning'!$I$61)*'Retirement Planning'!$I$56))))))/12,AA211)</f>
        <v>2090.0338674544705</v>
      </c>
      <c r="AB212" s="104">
        <f t="shared" ca="1" si="77"/>
        <v>0.22591377303475318</v>
      </c>
      <c r="AC212" s="7">
        <f>IF(B212&lt;65,'Retirement Planning'!$J$28,0)</f>
        <v>0</v>
      </c>
      <c r="AD212" s="7">
        <f>IF(B212&lt;65,'Retirement Planning'!$J$29/12,0)</f>
        <v>0</v>
      </c>
      <c r="AE212" s="22">
        <f>'Retirement Planning'!$J$31/12</f>
        <v>58.333333333333336</v>
      </c>
      <c r="AF212" s="22">
        <f>'Retirement Planning'!$J$32/12</f>
        <v>66.666666666666671</v>
      </c>
      <c r="AG212" s="7">
        <f>IF($B212&gt;64.9,'Retirement Planning'!$J$39/12,0)</f>
        <v>183.33333333333334</v>
      </c>
      <c r="AH212" s="7">
        <f>IF($B212&gt;64.9,'Retirement Planning'!$J$40/12,0)</f>
        <v>258.33333333333331</v>
      </c>
      <c r="AI212" s="7">
        <f>IF($B212&gt;64.9,'Retirement Planning'!$J$41/12,0)</f>
        <v>558.33333333333337</v>
      </c>
      <c r="AJ212" s="7">
        <f t="shared" ca="1" si="89"/>
        <v>316.66666666666663</v>
      </c>
      <c r="AK212" s="3" t="str">
        <f t="shared" ca="1" si="90"/>
        <v>N/A</v>
      </c>
      <c r="AL212" s="6" t="str">
        <f t="shared" ca="1" si="91"/>
        <v>N/A</v>
      </c>
      <c r="AM212" s="7">
        <f t="shared" ca="1" si="92"/>
        <v>1.0231815394945443E-12</v>
      </c>
      <c r="AN212" s="7">
        <f t="shared" ca="1" si="93"/>
        <v>12217.071321263578</v>
      </c>
      <c r="AO212" s="7">
        <f t="shared" si="94"/>
        <v>1125</v>
      </c>
    </row>
    <row r="213" spans="1:41" x14ac:dyDescent="0.2">
      <c r="A213">
        <f t="shared" si="95"/>
        <v>50</v>
      </c>
      <c r="B213" s="5">
        <f t="shared" si="96"/>
        <v>73.2</v>
      </c>
      <c r="C213" s="56">
        <f t="shared" si="97"/>
        <v>52597</v>
      </c>
      <c r="D213" s="57">
        <f ca="1">IF(AND(B212&lt;59.5,OR(B213&gt;59.5,B213=59.5)),(D212-E212+J212-K212)*(1+'Retirement Planning'!$J$23/12),(D212-E212)*(1+'Retirement Planning'!$J$23/12))</f>
        <v>436289.62432234944</v>
      </c>
      <c r="E213" s="58">
        <f t="shared" ca="1" si="84"/>
        <v>1214.6383096746576</v>
      </c>
      <c r="F213" s="57">
        <f ca="1">IF(AND(OR(B213&gt;59.5,B213=59.5),B212&lt;59.5),(F212-G212+L212-M212+N212-O212)*(1+'Retirement Planning'!$J$23/12),(F212-G212)*(1+'Retirement Planning'!$J$23/12))</f>
        <v>1373486.9922586677</v>
      </c>
      <c r="G213" s="58">
        <f ca="1">IF(AND($B$10&lt;55,B213&lt;59.5),'Retirement Planning'!$J$25,IF(OR(B213&gt;59.5,B213=59.5),MAX(0,MIN(F213,IF(D213&lt;2500,((Y213+AJ213+AA213))-X213,((Y213+AJ213+AA213)*'Retirement Planning'!$J$44)-X213))),0))</f>
        <v>8375.6498132209908</v>
      </c>
      <c r="H213" s="255">
        <f ca="1">IF(MONTH(C213)=1,IF(B213&gt;69.5,F213/(INDEX('Retirement Planning'!D$1:D$264,(160+INT(B213))))/12,0),IF(F213=0,0,H212))</f>
        <v>7384.3386680573531</v>
      </c>
      <c r="I213" s="262">
        <f t="shared" ca="1" si="85"/>
        <v>0</v>
      </c>
      <c r="J213" s="254">
        <f ca="1">IF(AND(B212&lt;59.5,OR(B213=59.5,B213&gt;59.5)),0,(J212-K212)*(1+'Retirement Planning'!$J$23/12))</f>
        <v>0</v>
      </c>
      <c r="K213" s="58">
        <f t="shared" ca="1" si="86"/>
        <v>0</v>
      </c>
      <c r="L213" s="57">
        <f>IF(AND(OR(B213&gt;59.5,B213=59.5),B212&lt;59.5),0,(L212-M212)*(1+'Retirement Planning'!$J$23/12))</f>
        <v>0</v>
      </c>
      <c r="M213" s="59">
        <f>IF(AND($B$10&lt;55,B213&lt;59.5),0,IF(B213&lt;59.5,MAX(0,MIN((($Y213+$AJ213+AA213)*'Retirement Planning'!$J$44)-$G213-$X213,L213)),0))</f>
        <v>0</v>
      </c>
      <c r="N213" s="57">
        <f ca="1">(N212-O212)*(1+'Retirement Planning'!$J$23/12)</f>
        <v>0</v>
      </c>
      <c r="O213" s="59">
        <f ca="1">IF(B213&gt;59.5,MAX(0,MIN((AA213+$Y213+$AJ213)*(IF(D213&lt;(MIN(E201:E212)+1),1,'Retirement Planning'!$J$44))-M213-$G213-$X213-(IF(D213&lt;(MIN(E201:E212)+1),D213,0)),N213)),0)</f>
        <v>0</v>
      </c>
      <c r="P213" s="57">
        <f t="shared" si="98"/>
        <v>0</v>
      </c>
      <c r="Q213" s="58">
        <f t="shared" si="99"/>
        <v>0</v>
      </c>
      <c r="R213" s="57">
        <f ca="1">(R212-S212-T212)*(1+'Retirement Planning'!$J$23/12)</f>
        <v>483934.38216331904</v>
      </c>
      <c r="S213" s="58">
        <f t="shared" ca="1" si="100"/>
        <v>808.33333333333337</v>
      </c>
      <c r="T213" s="273">
        <f t="shared" ca="1" si="87"/>
        <v>1.3642420526593924E-12</v>
      </c>
      <c r="U213" s="57">
        <f ca="1">(U212-V212)*(1+'Retirement Planning'!$J$23/12)</f>
        <v>361233.73243120749</v>
      </c>
      <c r="V213" s="24">
        <f ca="1">IF(AND($B$10&lt;55,B213&lt;59.5),MIN(U213,MAX(0,(Y213+AA213+AJ213-G213)*'Retirement Planning'!$J$45)),IF(B213&lt;59.5,(MIN(U213,MAX(0,((Y213+AA213+AJ213)-G213-M213)*'Retirement Planning'!$J$45))),MIN(U213,MAX(0,(Y213+AA213+AJ213-G213-M213-K213-X213)*'Retirement Planning'!$J$45))))</f>
        <v>1034.6918934265607</v>
      </c>
      <c r="W213" s="7">
        <f t="shared" ca="1" si="88"/>
        <v>2654944.7311755433</v>
      </c>
      <c r="X213" s="7">
        <f>(IF(B213&gt;'Retirement Planning'!$J$34,IF('Retirement Planning'!$J$34=70,'Retirement Planning'!$J$37/12,IF('Retirement Planning'!$J$34=67,'Retirement Planning'!$J$36/12,'Retirement Planning'!$J$35/12)),0))*'Retirement Planning'!$J$38</f>
        <v>1213.6000000000001</v>
      </c>
      <c r="Y213" s="7">
        <f ca="1">'Retirement Planning'!$F$35*((1+'Retirement Planning'!$J$24)^(YEAR('Projected Retirement Drawdown'!C213)-YEAR(TODAY())))</f>
        <v>9317.1087646924243</v>
      </c>
      <c r="Z213" s="7">
        <f ca="1">G213+M213+O213+0.85*X213+V213*'Retirement Planning'!$J$46+T213</f>
        <v>9976.2903546056004</v>
      </c>
      <c r="AA213" s="7">
        <f ca="1">IF(MONTH(C213)=1,(((MIN(MAX(0,((SUM(Z201:Z212)-'Retirement Planning'!$I$53-'Retirement Planning'!$I$54)-'Retirement Planning'!$J$51)*'Retirement Planning'!$I$52))))+(MIN(MAX(0,((SUM(Z201:Z212)-'Retirement Planning'!$I$53-'Retirement Planning'!$I$54)-'Retirement Planning'!$J$50)*'Retirement Planning'!$I$51),('Retirement Planning'!$J$51-'Retirement Planning'!$J$50)*'Retirement Planning'!$I$51))+(MIN(MAX(0,((SUM(Z201:Z212)-'Retirement Planning'!$I$53-'Retirement Planning'!$I$54)-'Retirement Planning'!$J$49)*'Retirement Planning'!$I$50),('Retirement Planning'!$J$50-'Retirement Planning'!$J$49)*'Retirement Planning'!$I$50)+MIN(MAX(0,((SUM(Z201:Z212)-'Retirement Planning'!$I$53-'Retirement Planning'!$I$54)-'Retirement Planning'!$J$48)*'Retirement Planning'!$I$49),('Retirement Planning'!$J$49-'Retirement Planning'!$J$48)*'Retirement Planning'!$I$49)+MIN(((SUM(Z201:Z212)-'Retirement Planning'!$I$53-'Retirement Planning'!$I$54))*'Retirement Planning'!$I$48,('Retirement Planning'!$J$48)*'Retirement Planning'!$I$48))+(IF((SUM(Z201:Z212)-'Retirement Planning'!$I$54-'Retirement Planning'!$I$61)&gt;'Retirement Planning'!$J$59,(SUM(Z201:Z212)-'Retirement Planning'!$I$54-'Retirement Planning'!$I$61-'Retirement Planning'!$J$59)*'Retirement Planning'!$I$60+'Retirement Planning'!$K$59,IF((SUM(Z201:Z212)-'Retirement Planning'!$I$54-'Retirement Planning'!$I$61)&gt;'Retirement Planning'!$J$58,(SUM(Z201:Z212)-'Retirement Planning'!$I$54-'Retirement Planning'!$I$61-'Retirement Planning'!$J$58)*'Retirement Planning'!$I$59+'Retirement Planning'!$K$58,IF((SUM(Z201:Z212)-'Retirement Planning'!$I$54-'Retirement Planning'!$I$61)&gt;'Retirement Planning'!$J$57,(SUM(Z201:Z212)-'Retirement Planning'!$I$54-'Retirement Planning'!$I$61-'Retirement Planning'!$J$57)*'Retirement Planning'!$I$58+'Retirement Planning'!$K$57,IF((SUM(Z201:Z212)-'Retirement Planning'!$I$54-'Retirement Planning'!$I$61)&gt;'Retirement Planning'!$J$56,(SUM(Z201:Z212)-'Retirement Planning'!$I$54-'Retirement Planning'!$I$61-'Retirement Planning'!$J$56)*'Retirement Planning'!$I$57+'Retirement Planning'!$K$56,(SUM(Z201:Z212)-'Retirement Planning'!$I$54-'Retirement Planning'!$I$61)*'Retirement Planning'!$I$56))))))/12,AA212)</f>
        <v>2204.8045849631194</v>
      </c>
      <c r="AB213" s="104">
        <f t="shared" ref="AB213" ca="1" si="101">SUM(AA213:AA224)/SUM(Z201:Z212)</f>
        <v>0.229488912532501</v>
      </c>
      <c r="AC213" s="7">
        <f>IF(B213&lt;65,'Retirement Planning'!$J$28,0)</f>
        <v>0</v>
      </c>
      <c r="AD213" s="7">
        <f>IF(B213&lt;65,'Retirement Planning'!$J$29/12,0)</f>
        <v>0</v>
      </c>
      <c r="AE213" s="22">
        <f>'Retirement Planning'!$J$31/12</f>
        <v>58.333333333333336</v>
      </c>
      <c r="AF213" s="22">
        <f>'Retirement Planning'!$J$32/12</f>
        <v>66.666666666666671</v>
      </c>
      <c r="AG213" s="7">
        <f>IF($B213&gt;64.9,'Retirement Planning'!$J$39/12,0)</f>
        <v>183.33333333333334</v>
      </c>
      <c r="AH213" s="7">
        <f>IF($B213&gt;64.9,'Retirement Planning'!$J$40/12,0)</f>
        <v>258.33333333333331</v>
      </c>
      <c r="AI213" s="7">
        <f>IF($B213&gt;64.9,'Retirement Planning'!$J$41/12,0)</f>
        <v>558.33333333333337</v>
      </c>
      <c r="AJ213" s="7">
        <f t="shared" ca="1" si="89"/>
        <v>316.66666666666663</v>
      </c>
      <c r="AK213" s="3" t="str">
        <f t="shared" ca="1" si="90"/>
        <v>N/A</v>
      </c>
      <c r="AL213" s="6" t="str">
        <f t="shared" ca="1" si="91"/>
        <v>N/A</v>
      </c>
      <c r="AM213" s="7">
        <f t="shared" ca="1" si="92"/>
        <v>1.1368683772161603E-12</v>
      </c>
      <c r="AN213" s="7">
        <f t="shared" ca="1" si="93"/>
        <v>12646.913349655544</v>
      </c>
      <c r="AO213" s="7">
        <f t="shared" si="94"/>
        <v>1125</v>
      </c>
    </row>
    <row r="214" spans="1:41" x14ac:dyDescent="0.2">
      <c r="A214">
        <f t="shared" si="95"/>
        <v>50</v>
      </c>
      <c r="B214" s="5">
        <f t="shared" si="96"/>
        <v>73.3</v>
      </c>
      <c r="C214" s="56">
        <f t="shared" si="97"/>
        <v>52628</v>
      </c>
      <c r="D214" s="57">
        <f ca="1">IF(AND(B213&lt;59.5,OR(B214&gt;59.5,B214=59.5)),(D213-E213+J213-K213)*(1+'Retirement Planning'!$J$23/12),(D213-E213)*(1+'Retirement Planning'!$J$23/12))</f>
        <v>438156.76716359786</v>
      </c>
      <c r="E214" s="58">
        <f t="shared" ca="1" si="84"/>
        <v>1214.6383096746576</v>
      </c>
      <c r="F214" s="57">
        <f ca="1">IF(AND(OR(B214&gt;59.5,B214=59.5),B213&lt;59.5),(F213-G213+L213-M213+N213-O213)*(1+'Retirement Planning'!$J$23/12),(F213-G213)*(1+'Retirement Planning'!$J$23/12))</f>
        <v>1374780.8811211018</v>
      </c>
      <c r="G214" s="58">
        <f ca="1">IF(AND($B$10&lt;55,B214&lt;59.5),'Retirement Planning'!$J$25,IF(OR(B214&gt;59.5,B214=59.5),MAX(0,MIN(F214,IF(D214&lt;2500,((Y214+AJ214+AA214))-X214,((Y214+AJ214+AA214)*'Retirement Planning'!$J$44)-X214))),0))</f>
        <v>8375.6498132209908</v>
      </c>
      <c r="H214" s="255">
        <f ca="1">IF(MONTH(C214)=1,IF(B214&gt;69.5,F214/(INDEX('Retirement Planning'!D$1:D$264,(160+INT(B214))))/12,0),IF(F214=0,0,H213))</f>
        <v>7384.3386680573531</v>
      </c>
      <c r="I214" s="262">
        <f t="shared" ca="1" si="85"/>
        <v>0</v>
      </c>
      <c r="J214" s="254">
        <f ca="1">IF(AND(B213&lt;59.5,OR(B214=59.5,B214&gt;59.5)),0,(J213-K213)*(1+'Retirement Planning'!$J$23/12))</f>
        <v>0</v>
      </c>
      <c r="K214" s="58">
        <f t="shared" ca="1" si="86"/>
        <v>0</v>
      </c>
      <c r="L214" s="57">
        <f>IF(AND(OR(B214&gt;59.5,B214=59.5),B213&lt;59.5),0,(L213-M213)*(1+'Retirement Planning'!$J$23/12))</f>
        <v>0</v>
      </c>
      <c r="M214" s="59">
        <f>IF(AND($B$10&lt;55,B214&lt;59.5),0,IF(B214&lt;59.5,MAX(0,MIN((($Y214+$AJ214+AA214)*'Retirement Planning'!$J$44)-$G214-$X214,L214)),0))</f>
        <v>0</v>
      </c>
      <c r="N214" s="57">
        <f ca="1">(N213-O213)*(1+'Retirement Planning'!$J$23/12)</f>
        <v>0</v>
      </c>
      <c r="O214" s="59">
        <f ca="1">IF(B214&gt;59.5,MAX(0,MIN((AA214+$Y214+$AJ214)*(IF(D214&lt;(MIN(E202:E213)+1),1,'Retirement Planning'!$J$44))-M214-$G214-$X214-(IF(D214&lt;(MIN(E202:E213)+1),D214,0)),N214)),0)</f>
        <v>0</v>
      </c>
      <c r="P214" s="57">
        <f t="shared" si="98"/>
        <v>0</v>
      </c>
      <c r="Q214" s="58">
        <f t="shared" si="99"/>
        <v>0</v>
      </c>
      <c r="R214" s="57">
        <f ca="1">(R213-S213-T213)*(1+'Retirement Planning'!$J$23/12)</f>
        <v>486548.1916758648</v>
      </c>
      <c r="S214" s="58">
        <f t="shared" ca="1" si="100"/>
        <v>808.33333333333337</v>
      </c>
      <c r="T214" s="273">
        <f t="shared" ca="1" si="87"/>
        <v>1.3642420526593924E-12</v>
      </c>
      <c r="U214" s="57">
        <f ca="1">(U213-V213)*(1+'Retirement Planning'!$J$23/12)</f>
        <v>362750.45040825685</v>
      </c>
      <c r="V214" s="24">
        <f ca="1">IF(AND($B$10&lt;55,B214&lt;59.5),MIN(U214,MAX(0,(Y214+AA214+AJ214-G214)*'Retirement Planning'!$J$45)),IF(B214&lt;59.5,(MIN(U214,MAX(0,((Y214+AA214+AJ214)-G214-M214)*'Retirement Planning'!$J$45))),MIN(U214,MAX(0,(Y214+AA214+AJ214-G214-M214-K214-X214)*'Retirement Planning'!$J$45))))</f>
        <v>1034.6918934265607</v>
      </c>
      <c r="W214" s="7">
        <f t="shared" ca="1" si="88"/>
        <v>2662236.2903688215</v>
      </c>
      <c r="X214" s="7">
        <f>(IF(B214&gt;'Retirement Planning'!$J$34,IF('Retirement Planning'!$J$34=70,'Retirement Planning'!$J$37/12,IF('Retirement Planning'!$J$34=67,'Retirement Planning'!$J$36/12,'Retirement Planning'!$J$35/12)),0))*'Retirement Planning'!$J$38</f>
        <v>1213.6000000000001</v>
      </c>
      <c r="Y214" s="7">
        <f ca="1">'Retirement Planning'!$F$35*((1+'Retirement Planning'!$J$24)^(YEAR('Projected Retirement Drawdown'!C214)-YEAR(TODAY())))</f>
        <v>9317.1087646924243</v>
      </c>
      <c r="Z214" s="7">
        <f ca="1">G214+M214+O214+0.85*X214+V214*'Retirement Planning'!$J$46+T214</f>
        <v>9976.2903546056004</v>
      </c>
      <c r="AA214" s="7">
        <f ca="1">IF(MONTH(C214)=1,(((MIN(MAX(0,((SUM(Z202:Z213)-'Retirement Planning'!$I$53-'Retirement Planning'!$I$54)-'Retirement Planning'!$J$51)*'Retirement Planning'!$I$52))))+(MIN(MAX(0,((SUM(Z202:Z213)-'Retirement Planning'!$I$53-'Retirement Planning'!$I$54)-'Retirement Planning'!$J$50)*'Retirement Planning'!$I$51),('Retirement Planning'!$J$51-'Retirement Planning'!$J$50)*'Retirement Planning'!$I$51))+(MIN(MAX(0,((SUM(Z202:Z213)-'Retirement Planning'!$I$53-'Retirement Planning'!$I$54)-'Retirement Planning'!$J$49)*'Retirement Planning'!$I$50),('Retirement Planning'!$J$50-'Retirement Planning'!$J$49)*'Retirement Planning'!$I$50)+MIN(MAX(0,((SUM(Z202:Z213)-'Retirement Planning'!$I$53-'Retirement Planning'!$I$54)-'Retirement Planning'!$J$48)*'Retirement Planning'!$I$49),('Retirement Planning'!$J$49-'Retirement Planning'!$J$48)*'Retirement Planning'!$I$49)+MIN(((SUM(Z202:Z213)-'Retirement Planning'!$I$53-'Retirement Planning'!$I$54))*'Retirement Planning'!$I$48,('Retirement Planning'!$J$48)*'Retirement Planning'!$I$48))+(IF((SUM(Z202:Z213)-'Retirement Planning'!$I$54-'Retirement Planning'!$I$61)&gt;'Retirement Planning'!$J$59,(SUM(Z202:Z213)-'Retirement Planning'!$I$54-'Retirement Planning'!$I$61-'Retirement Planning'!$J$59)*'Retirement Planning'!$I$60+'Retirement Planning'!$K$59,IF((SUM(Z202:Z213)-'Retirement Planning'!$I$54-'Retirement Planning'!$I$61)&gt;'Retirement Planning'!$J$58,(SUM(Z202:Z213)-'Retirement Planning'!$I$54-'Retirement Planning'!$I$61-'Retirement Planning'!$J$58)*'Retirement Planning'!$I$59+'Retirement Planning'!$K$58,IF((SUM(Z202:Z213)-'Retirement Planning'!$I$54-'Retirement Planning'!$I$61)&gt;'Retirement Planning'!$J$57,(SUM(Z202:Z213)-'Retirement Planning'!$I$54-'Retirement Planning'!$I$61-'Retirement Planning'!$J$57)*'Retirement Planning'!$I$58+'Retirement Planning'!$K$57,IF((SUM(Z202:Z213)-'Retirement Planning'!$I$54-'Retirement Planning'!$I$61)&gt;'Retirement Planning'!$J$56,(SUM(Z202:Z213)-'Retirement Planning'!$I$54-'Retirement Planning'!$I$61-'Retirement Planning'!$J$56)*'Retirement Planning'!$I$57+'Retirement Planning'!$K$56,(SUM(Z202:Z213)-'Retirement Planning'!$I$54-'Retirement Planning'!$I$61)*'Retirement Planning'!$I$56))))))/12,AA213)</f>
        <v>2204.8045849631194</v>
      </c>
      <c r="AB214" s="104">
        <f t="shared" ref="AB214:AB277" ca="1" si="102">AB213</f>
        <v>0.229488912532501</v>
      </c>
      <c r="AC214" s="7">
        <f>IF(B214&lt;65,'Retirement Planning'!$J$28,0)</f>
        <v>0</v>
      </c>
      <c r="AD214" s="7">
        <f>IF(B214&lt;65,'Retirement Planning'!$J$29/12,0)</f>
        <v>0</v>
      </c>
      <c r="AE214" s="22">
        <f>'Retirement Planning'!$J$31/12</f>
        <v>58.333333333333336</v>
      </c>
      <c r="AF214" s="22">
        <f>'Retirement Planning'!$J$32/12</f>
        <v>66.666666666666671</v>
      </c>
      <c r="AG214" s="7">
        <f>IF($B214&gt;64.9,'Retirement Planning'!$J$39/12,0)</f>
        <v>183.33333333333334</v>
      </c>
      <c r="AH214" s="7">
        <f>IF($B214&gt;64.9,'Retirement Planning'!$J$40/12,0)</f>
        <v>258.33333333333331</v>
      </c>
      <c r="AI214" s="7">
        <f>IF($B214&gt;64.9,'Retirement Planning'!$J$41/12,0)</f>
        <v>558.33333333333337</v>
      </c>
      <c r="AJ214" s="7">
        <f t="shared" ca="1" si="89"/>
        <v>316.66666666666663</v>
      </c>
      <c r="AK214" s="3" t="str">
        <f t="shared" ca="1" si="90"/>
        <v>N/A</v>
      </c>
      <c r="AL214" s="6" t="str">
        <f t="shared" ca="1" si="91"/>
        <v>N/A</v>
      </c>
      <c r="AM214" s="7">
        <f t="shared" ca="1" si="92"/>
        <v>1.1368683772161603E-12</v>
      </c>
      <c r="AN214" s="7">
        <f t="shared" ca="1" si="93"/>
        <v>12646.913349655544</v>
      </c>
      <c r="AO214" s="7">
        <f t="shared" si="94"/>
        <v>1125</v>
      </c>
    </row>
    <row r="215" spans="1:41" x14ac:dyDescent="0.2">
      <c r="A215">
        <f t="shared" si="95"/>
        <v>50</v>
      </c>
      <c r="B215" s="5">
        <f t="shared" si="96"/>
        <v>73.400000000000006</v>
      </c>
      <c r="C215" s="56">
        <f t="shared" si="97"/>
        <v>52657</v>
      </c>
      <c r="D215" s="57">
        <f ca="1">IF(AND(B214&lt;59.5,OR(B215&gt;59.5,B215=59.5)),(D214-E214+J214-K214)*(1+'Retirement Planning'!$J$23/12),(D214-E214)*(1+'Retirement Planning'!$J$23/12))</f>
        <v>440037.13559997181</v>
      </c>
      <c r="E215" s="58">
        <f t="shared" ca="1" si="84"/>
        <v>1214.6383096746576</v>
      </c>
      <c r="F215" s="57">
        <f ca="1">IF(AND(OR(B215&gt;59.5,B215=59.5),B214&lt;59.5),(F214-G214+L214-M214+N214-O214)*(1+'Retirement Planning'!$J$23/12),(F214-G214)*(1+'Retirement Planning'!$J$23/12))</f>
        <v>1376083.935029645</v>
      </c>
      <c r="G215" s="58">
        <f ca="1">IF(AND($B$10&lt;55,B215&lt;59.5),'Retirement Planning'!$J$25,IF(OR(B215&gt;59.5,B215=59.5),MAX(0,MIN(F215,IF(D215&lt;2500,((Y215+AJ215+AA215))-X215,((Y215+AJ215+AA215)*'Retirement Planning'!$J$44)-X215))),0))</f>
        <v>8375.6498132209908</v>
      </c>
      <c r="H215" s="255">
        <f ca="1">IF(MONTH(C215)=1,IF(B215&gt;69.5,F215/(INDEX('Retirement Planning'!D$1:D$264,(160+INT(B215))))/12,0),IF(F215=0,0,H214))</f>
        <v>7384.3386680573531</v>
      </c>
      <c r="I215" s="262">
        <f t="shared" ca="1" si="85"/>
        <v>0</v>
      </c>
      <c r="J215" s="254">
        <f ca="1">IF(AND(B214&lt;59.5,OR(B215=59.5,B215&gt;59.5)),0,(J214-K214)*(1+'Retirement Planning'!$J$23/12))</f>
        <v>0</v>
      </c>
      <c r="K215" s="58">
        <f t="shared" ca="1" si="86"/>
        <v>0</v>
      </c>
      <c r="L215" s="57">
        <f>IF(AND(OR(B215&gt;59.5,B215=59.5),B214&lt;59.5),0,(L214-M214)*(1+'Retirement Planning'!$J$23/12))</f>
        <v>0</v>
      </c>
      <c r="M215" s="59">
        <f>IF(AND($B$10&lt;55,B215&lt;59.5),0,IF(B215&lt;59.5,MAX(0,MIN((($Y215+$AJ215+AA215)*'Retirement Planning'!$J$44)-$G215-$X215,L215)),0))</f>
        <v>0</v>
      </c>
      <c r="N215" s="57">
        <f ca="1">(N214-O214)*(1+'Retirement Planning'!$J$23/12)</f>
        <v>0</v>
      </c>
      <c r="O215" s="59">
        <f ca="1">IF(B215&gt;59.5,MAX(0,MIN((AA215+$Y215+$AJ215)*(IF(D215&lt;(MIN(E203:E214)+1),1,'Retirement Planning'!$J$44))-M215-$G215-$X215-(IF(D215&lt;(MIN(E203:E214)+1),D215,0)),N215)),0)</f>
        <v>0</v>
      </c>
      <c r="P215" s="57">
        <f t="shared" si="98"/>
        <v>0</v>
      </c>
      <c r="Q215" s="58">
        <f t="shared" si="99"/>
        <v>0</v>
      </c>
      <c r="R215" s="57">
        <f ca="1">(R214-S214-T214)*(1+'Retirement Planning'!$J$23/12)</f>
        <v>489180.51567245775</v>
      </c>
      <c r="S215" s="58">
        <f t="shared" ca="1" si="100"/>
        <v>808.33333333333337</v>
      </c>
      <c r="T215" s="273">
        <f t="shared" ca="1" si="87"/>
        <v>1.3642420526593924E-12</v>
      </c>
      <c r="U215" s="57">
        <f ca="1">(U214-V214)*(1+'Retirement Planning'!$J$23/12)</f>
        <v>364277.91180431028</v>
      </c>
      <c r="V215" s="24">
        <f ca="1">IF(AND($B$10&lt;55,B215&lt;59.5),MIN(U215,MAX(0,(Y215+AA215+AJ215-G215)*'Retirement Planning'!$J$45)),IF(B215&lt;59.5,(MIN(U215,MAX(0,((Y215+AA215+AJ215)-G215-M215)*'Retirement Planning'!$J$45))),MIN(U215,MAX(0,(Y215+AA215+AJ215-G215-M215-K215-X215)*'Retirement Planning'!$J$45))))</f>
        <v>1034.6918934265607</v>
      </c>
      <c r="W215" s="7">
        <f t="shared" ca="1" si="88"/>
        <v>2669579.4981063846</v>
      </c>
      <c r="X215" s="7">
        <f>(IF(B215&gt;'Retirement Planning'!$J$34,IF('Retirement Planning'!$J$34=70,'Retirement Planning'!$J$37/12,IF('Retirement Planning'!$J$34=67,'Retirement Planning'!$J$36/12,'Retirement Planning'!$J$35/12)),0))*'Retirement Planning'!$J$38</f>
        <v>1213.6000000000001</v>
      </c>
      <c r="Y215" s="7">
        <f ca="1">'Retirement Planning'!$F$35*((1+'Retirement Planning'!$J$24)^(YEAR('Projected Retirement Drawdown'!C215)-YEAR(TODAY())))</f>
        <v>9317.1087646924243</v>
      </c>
      <c r="Z215" s="7">
        <f ca="1">G215+M215+O215+0.85*X215+V215*'Retirement Planning'!$J$46+T215</f>
        <v>9976.2903546056004</v>
      </c>
      <c r="AA215" s="7">
        <f ca="1">IF(MONTH(C215)=1,(((MIN(MAX(0,((SUM(Z203:Z214)-'Retirement Planning'!$I$53-'Retirement Planning'!$I$54)-'Retirement Planning'!$J$51)*'Retirement Planning'!$I$52))))+(MIN(MAX(0,((SUM(Z203:Z214)-'Retirement Planning'!$I$53-'Retirement Planning'!$I$54)-'Retirement Planning'!$J$50)*'Retirement Planning'!$I$51),('Retirement Planning'!$J$51-'Retirement Planning'!$J$50)*'Retirement Planning'!$I$51))+(MIN(MAX(0,((SUM(Z203:Z214)-'Retirement Planning'!$I$53-'Retirement Planning'!$I$54)-'Retirement Planning'!$J$49)*'Retirement Planning'!$I$50),('Retirement Planning'!$J$50-'Retirement Planning'!$J$49)*'Retirement Planning'!$I$50)+MIN(MAX(0,((SUM(Z203:Z214)-'Retirement Planning'!$I$53-'Retirement Planning'!$I$54)-'Retirement Planning'!$J$48)*'Retirement Planning'!$I$49),('Retirement Planning'!$J$49-'Retirement Planning'!$J$48)*'Retirement Planning'!$I$49)+MIN(((SUM(Z203:Z214)-'Retirement Planning'!$I$53-'Retirement Planning'!$I$54))*'Retirement Planning'!$I$48,('Retirement Planning'!$J$48)*'Retirement Planning'!$I$48))+(IF((SUM(Z203:Z214)-'Retirement Planning'!$I$54-'Retirement Planning'!$I$61)&gt;'Retirement Planning'!$J$59,(SUM(Z203:Z214)-'Retirement Planning'!$I$54-'Retirement Planning'!$I$61-'Retirement Planning'!$J$59)*'Retirement Planning'!$I$60+'Retirement Planning'!$K$59,IF((SUM(Z203:Z214)-'Retirement Planning'!$I$54-'Retirement Planning'!$I$61)&gt;'Retirement Planning'!$J$58,(SUM(Z203:Z214)-'Retirement Planning'!$I$54-'Retirement Planning'!$I$61-'Retirement Planning'!$J$58)*'Retirement Planning'!$I$59+'Retirement Planning'!$K$58,IF((SUM(Z203:Z214)-'Retirement Planning'!$I$54-'Retirement Planning'!$I$61)&gt;'Retirement Planning'!$J$57,(SUM(Z203:Z214)-'Retirement Planning'!$I$54-'Retirement Planning'!$I$61-'Retirement Planning'!$J$57)*'Retirement Planning'!$I$58+'Retirement Planning'!$K$57,IF((SUM(Z203:Z214)-'Retirement Planning'!$I$54-'Retirement Planning'!$I$61)&gt;'Retirement Planning'!$J$56,(SUM(Z203:Z214)-'Retirement Planning'!$I$54-'Retirement Planning'!$I$61-'Retirement Planning'!$J$56)*'Retirement Planning'!$I$57+'Retirement Planning'!$K$56,(SUM(Z203:Z214)-'Retirement Planning'!$I$54-'Retirement Planning'!$I$61)*'Retirement Planning'!$I$56))))))/12,AA214)</f>
        <v>2204.8045849631194</v>
      </c>
      <c r="AB215" s="104">
        <f t="shared" ca="1" si="77"/>
        <v>0.229488912532501</v>
      </c>
      <c r="AC215" s="7">
        <f>IF(B215&lt;65,'Retirement Planning'!$J$28,0)</f>
        <v>0</v>
      </c>
      <c r="AD215" s="7">
        <f>IF(B215&lt;65,'Retirement Planning'!$J$29/12,0)</f>
        <v>0</v>
      </c>
      <c r="AE215" s="22">
        <f>'Retirement Planning'!$J$31/12</f>
        <v>58.333333333333336</v>
      </c>
      <c r="AF215" s="22">
        <f>'Retirement Planning'!$J$32/12</f>
        <v>66.666666666666671</v>
      </c>
      <c r="AG215" s="7">
        <f>IF($B215&gt;64.9,'Retirement Planning'!$J$39/12,0)</f>
        <v>183.33333333333334</v>
      </c>
      <c r="AH215" s="7">
        <f>IF($B215&gt;64.9,'Retirement Planning'!$J$40/12,0)</f>
        <v>258.33333333333331</v>
      </c>
      <c r="AI215" s="7">
        <f>IF($B215&gt;64.9,'Retirement Planning'!$J$41/12,0)</f>
        <v>558.33333333333337</v>
      </c>
      <c r="AJ215" s="7">
        <f t="shared" ca="1" si="89"/>
        <v>316.66666666666663</v>
      </c>
      <c r="AK215" s="3" t="str">
        <f t="shared" ca="1" si="90"/>
        <v>N/A</v>
      </c>
      <c r="AL215" s="6" t="str">
        <f t="shared" ca="1" si="91"/>
        <v>N/A</v>
      </c>
      <c r="AM215" s="7">
        <f t="shared" ca="1" si="92"/>
        <v>1.1368683772161603E-12</v>
      </c>
      <c r="AN215" s="7">
        <f t="shared" ca="1" si="93"/>
        <v>12646.913349655544</v>
      </c>
      <c r="AO215" s="7">
        <f t="shared" si="94"/>
        <v>1125</v>
      </c>
    </row>
    <row r="216" spans="1:41" x14ac:dyDescent="0.2">
      <c r="A216">
        <f t="shared" si="95"/>
        <v>50</v>
      </c>
      <c r="B216" s="5">
        <f t="shared" si="96"/>
        <v>73.5</v>
      </c>
      <c r="C216" s="56">
        <f t="shared" si="97"/>
        <v>52688</v>
      </c>
      <c r="D216" s="57">
        <f ca="1">IF(AND(B215&lt;59.5,OR(B216&gt;59.5,B216=59.5)),(D215-E215+J215-K215)*(1+'Retirement Planning'!$J$23/12),(D215-E215)*(1+'Retirement Planning'!$J$23/12))</f>
        <v>441930.82331277011</v>
      </c>
      <c r="E216" s="58">
        <f t="shared" ca="1" si="84"/>
        <v>1214.6383096746576</v>
      </c>
      <c r="F216" s="57">
        <f ca="1">IF(AND(OR(B216&gt;59.5,B216=59.5),B215&lt;59.5),(F215-G215+L215-M215+N215-O215)*(1+'Retirement Planning'!$J$23/12),(F215-G215)*(1+'Retirement Planning'!$J$23/12))</f>
        <v>1377396.2189033737</v>
      </c>
      <c r="G216" s="58">
        <f ca="1">IF(AND($B$10&lt;55,B216&lt;59.5),'Retirement Planning'!$J$25,IF(OR(B216&gt;59.5,B216=59.5),MAX(0,MIN(F216,IF(D216&lt;2500,((Y216+AJ216+AA216))-X216,((Y216+AJ216+AA216)*'Retirement Planning'!$J$44)-X216))),0))</f>
        <v>8375.6498132209908</v>
      </c>
      <c r="H216" s="255">
        <f ca="1">IF(MONTH(C216)=1,IF(B216&gt;69.5,F216/(INDEX('Retirement Planning'!D$1:D$264,(160+INT(B216))))/12,0),IF(F216=0,0,H215))</f>
        <v>7384.3386680573531</v>
      </c>
      <c r="I216" s="262">
        <f t="shared" ca="1" si="85"/>
        <v>0</v>
      </c>
      <c r="J216" s="254">
        <f ca="1">IF(AND(B215&lt;59.5,OR(B216=59.5,B216&gt;59.5)),0,(J215-K215)*(1+'Retirement Planning'!$J$23/12))</f>
        <v>0</v>
      </c>
      <c r="K216" s="58">
        <f t="shared" ca="1" si="86"/>
        <v>0</v>
      </c>
      <c r="L216" s="57">
        <f>IF(AND(OR(B216&gt;59.5,B216=59.5),B215&lt;59.5),0,(L215-M215)*(1+'Retirement Planning'!$J$23/12))</f>
        <v>0</v>
      </c>
      <c r="M216" s="59">
        <f>IF(AND($B$10&lt;55,B216&lt;59.5),0,IF(B216&lt;59.5,MAX(0,MIN((($Y216+$AJ216+AA216)*'Retirement Planning'!$J$44)-$G216-$X216,L216)),0))</f>
        <v>0</v>
      </c>
      <c r="N216" s="57">
        <f ca="1">(N215-O215)*(1+'Retirement Planning'!$J$23/12)</f>
        <v>0</v>
      </c>
      <c r="O216" s="59">
        <f ca="1">IF(B216&gt;59.5,MAX(0,MIN((AA216+$Y216+$AJ216)*(IF(D216&lt;(MIN(E204:E215)+1),1,'Retirement Planning'!$J$44))-M216-$G216-$X216-(IF(D216&lt;(MIN(E204:E215)+1),D216,0)),N216)),0)</f>
        <v>0</v>
      </c>
      <c r="P216" s="57">
        <f t="shared" si="98"/>
        <v>0</v>
      </c>
      <c r="Q216" s="58">
        <f t="shared" si="99"/>
        <v>0</v>
      </c>
      <c r="R216" s="57">
        <f ca="1">(R215-S215-T215)*(1+'Retirement Planning'!$J$23/12)</f>
        <v>491831.48529735988</v>
      </c>
      <c r="S216" s="58">
        <f t="shared" ca="1" si="100"/>
        <v>808.33333333333337</v>
      </c>
      <c r="T216" s="273">
        <f t="shared" ca="1" si="87"/>
        <v>1.3642420526593924E-12</v>
      </c>
      <c r="U216" s="57">
        <f ca="1">(U215-V215)*(1+'Retirement Planning'!$J$23/12)</f>
        <v>365816.19271858578</v>
      </c>
      <c r="V216" s="24">
        <f ca="1">IF(AND($B$10&lt;55,B216&lt;59.5),MIN(U216,MAX(0,(Y216+AA216+AJ216-G216)*'Retirement Planning'!$J$45)),IF(B216&lt;59.5,(MIN(U216,MAX(0,((Y216+AA216+AJ216)-G216-M216)*'Retirement Planning'!$J$45))),MIN(U216,MAX(0,(Y216+AA216+AJ216-G216-M216-K216-X216)*'Retirement Planning'!$J$45))))</f>
        <v>1034.6918934265607</v>
      </c>
      <c r="W216" s="7">
        <f t="shared" ca="1" si="88"/>
        <v>2676974.7202320895</v>
      </c>
      <c r="X216" s="7">
        <f>(IF(B216&gt;'Retirement Planning'!$J$34,IF('Retirement Planning'!$J$34=70,'Retirement Planning'!$J$37/12,IF('Retirement Planning'!$J$34=67,'Retirement Planning'!$J$36/12,'Retirement Planning'!$J$35/12)),0))*'Retirement Planning'!$J$38</f>
        <v>1213.6000000000001</v>
      </c>
      <c r="Y216" s="7">
        <f ca="1">'Retirement Planning'!$F$35*((1+'Retirement Planning'!$J$24)^(YEAR('Projected Retirement Drawdown'!C216)-YEAR(TODAY())))</f>
        <v>9317.1087646924243</v>
      </c>
      <c r="Z216" s="7">
        <f ca="1">G216+M216+O216+0.85*X216+V216*'Retirement Planning'!$J$46+T216</f>
        <v>9976.2903546056004</v>
      </c>
      <c r="AA216" s="7">
        <f ca="1">IF(MONTH(C216)=1,(((MIN(MAX(0,((SUM(Z204:Z215)-'Retirement Planning'!$I$53-'Retirement Planning'!$I$54)-'Retirement Planning'!$J$51)*'Retirement Planning'!$I$52))))+(MIN(MAX(0,((SUM(Z204:Z215)-'Retirement Planning'!$I$53-'Retirement Planning'!$I$54)-'Retirement Planning'!$J$50)*'Retirement Planning'!$I$51),('Retirement Planning'!$J$51-'Retirement Planning'!$J$50)*'Retirement Planning'!$I$51))+(MIN(MAX(0,((SUM(Z204:Z215)-'Retirement Planning'!$I$53-'Retirement Planning'!$I$54)-'Retirement Planning'!$J$49)*'Retirement Planning'!$I$50),('Retirement Planning'!$J$50-'Retirement Planning'!$J$49)*'Retirement Planning'!$I$50)+MIN(MAX(0,((SUM(Z204:Z215)-'Retirement Planning'!$I$53-'Retirement Planning'!$I$54)-'Retirement Planning'!$J$48)*'Retirement Planning'!$I$49),('Retirement Planning'!$J$49-'Retirement Planning'!$J$48)*'Retirement Planning'!$I$49)+MIN(((SUM(Z204:Z215)-'Retirement Planning'!$I$53-'Retirement Planning'!$I$54))*'Retirement Planning'!$I$48,('Retirement Planning'!$J$48)*'Retirement Planning'!$I$48))+(IF((SUM(Z204:Z215)-'Retirement Planning'!$I$54-'Retirement Planning'!$I$61)&gt;'Retirement Planning'!$J$59,(SUM(Z204:Z215)-'Retirement Planning'!$I$54-'Retirement Planning'!$I$61-'Retirement Planning'!$J$59)*'Retirement Planning'!$I$60+'Retirement Planning'!$K$59,IF((SUM(Z204:Z215)-'Retirement Planning'!$I$54-'Retirement Planning'!$I$61)&gt;'Retirement Planning'!$J$58,(SUM(Z204:Z215)-'Retirement Planning'!$I$54-'Retirement Planning'!$I$61-'Retirement Planning'!$J$58)*'Retirement Planning'!$I$59+'Retirement Planning'!$K$58,IF((SUM(Z204:Z215)-'Retirement Planning'!$I$54-'Retirement Planning'!$I$61)&gt;'Retirement Planning'!$J$57,(SUM(Z204:Z215)-'Retirement Planning'!$I$54-'Retirement Planning'!$I$61-'Retirement Planning'!$J$57)*'Retirement Planning'!$I$58+'Retirement Planning'!$K$57,IF((SUM(Z204:Z215)-'Retirement Planning'!$I$54-'Retirement Planning'!$I$61)&gt;'Retirement Planning'!$J$56,(SUM(Z204:Z215)-'Retirement Planning'!$I$54-'Retirement Planning'!$I$61-'Retirement Planning'!$J$56)*'Retirement Planning'!$I$57+'Retirement Planning'!$K$56,(SUM(Z204:Z215)-'Retirement Planning'!$I$54-'Retirement Planning'!$I$61)*'Retirement Planning'!$I$56))))))/12,AA215)</f>
        <v>2204.8045849631194</v>
      </c>
      <c r="AB216" s="104">
        <f t="shared" ca="1" si="77"/>
        <v>0.229488912532501</v>
      </c>
      <c r="AC216" s="7">
        <f>IF(B216&lt;65,'Retirement Planning'!$J$28,0)</f>
        <v>0</v>
      </c>
      <c r="AD216" s="7">
        <f>IF(B216&lt;65,'Retirement Planning'!$J$29/12,0)</f>
        <v>0</v>
      </c>
      <c r="AE216" s="22">
        <f>'Retirement Planning'!$J$31/12</f>
        <v>58.333333333333336</v>
      </c>
      <c r="AF216" s="22">
        <f>'Retirement Planning'!$J$32/12</f>
        <v>66.666666666666671</v>
      </c>
      <c r="AG216" s="7">
        <f>IF($B216&gt;64.9,'Retirement Planning'!$J$39/12,0)</f>
        <v>183.33333333333334</v>
      </c>
      <c r="AH216" s="7">
        <f>IF($B216&gt;64.9,'Retirement Planning'!$J$40/12,0)</f>
        <v>258.33333333333331</v>
      </c>
      <c r="AI216" s="7">
        <f>IF($B216&gt;64.9,'Retirement Planning'!$J$41/12,0)</f>
        <v>558.33333333333337</v>
      </c>
      <c r="AJ216" s="7">
        <f t="shared" ca="1" si="89"/>
        <v>316.66666666666663</v>
      </c>
      <c r="AK216" s="3" t="str">
        <f t="shared" ca="1" si="90"/>
        <v>N/A</v>
      </c>
      <c r="AL216" s="6" t="str">
        <f t="shared" ca="1" si="91"/>
        <v>N/A</v>
      </c>
      <c r="AM216" s="7">
        <f t="shared" ca="1" si="92"/>
        <v>1.1368683772161603E-12</v>
      </c>
      <c r="AN216" s="7">
        <f t="shared" ca="1" si="93"/>
        <v>12646.913349655544</v>
      </c>
      <c r="AO216" s="7">
        <f t="shared" si="94"/>
        <v>1125</v>
      </c>
    </row>
    <row r="217" spans="1:41" x14ac:dyDescent="0.2">
      <c r="A217">
        <f t="shared" si="95"/>
        <v>50</v>
      </c>
      <c r="B217" s="5">
        <f t="shared" si="96"/>
        <v>73.5</v>
      </c>
      <c r="C217" s="56">
        <f t="shared" si="97"/>
        <v>52718</v>
      </c>
      <c r="D217" s="57">
        <f ca="1">IF(AND(B216&lt;59.5,OR(B217&gt;59.5,B217=59.5)),(D216-E216+J216-K216)*(1+'Retirement Planning'!$J$23/12),(D216-E216)*(1+'Retirement Planning'!$J$23/12))</f>
        <v>443837.92464686732</v>
      </c>
      <c r="E217" s="58">
        <f t="shared" ca="1" si="84"/>
        <v>1214.6383096746576</v>
      </c>
      <c r="F217" s="57">
        <f ca="1">IF(AND(OR(B217&gt;59.5,B217=59.5),B216&lt;59.5),(F216-G216+L216-M216+N216-O216)*(1+'Retirement Planning'!$J$23/12),(F216-G216)*(1+'Retirement Planning'!$J$23/12))</f>
        <v>1378717.7981212079</v>
      </c>
      <c r="G217" s="58">
        <f ca="1">IF(AND($B$10&lt;55,B217&lt;59.5),'Retirement Planning'!$J$25,IF(OR(B217&gt;59.5,B217=59.5),MAX(0,MIN(F217,IF(D217&lt;2500,((Y217+AJ217+AA217))-X217,((Y217+AJ217+AA217)*'Retirement Planning'!$J$44)-X217))),0))</f>
        <v>8375.6498132209908</v>
      </c>
      <c r="H217" s="255">
        <f ca="1">IF(MONTH(C217)=1,IF(B217&gt;69.5,F217/(INDEX('Retirement Planning'!D$1:D$264,(160+INT(B217))))/12,0),IF(F217=0,0,H216))</f>
        <v>7384.3386680573531</v>
      </c>
      <c r="I217" s="262">
        <f t="shared" ca="1" si="85"/>
        <v>0</v>
      </c>
      <c r="J217" s="254">
        <f ca="1">IF(AND(B216&lt;59.5,OR(B217=59.5,B217&gt;59.5)),0,(J216-K216)*(1+'Retirement Planning'!$J$23/12))</f>
        <v>0</v>
      </c>
      <c r="K217" s="58">
        <f t="shared" ca="1" si="86"/>
        <v>0</v>
      </c>
      <c r="L217" s="57">
        <f>IF(AND(OR(B217&gt;59.5,B217=59.5),B216&lt;59.5),0,(L216-M216)*(1+'Retirement Planning'!$J$23/12))</f>
        <v>0</v>
      </c>
      <c r="M217" s="59">
        <f>IF(AND($B$10&lt;55,B217&lt;59.5),0,IF(B217&lt;59.5,MAX(0,MIN((($Y217+$AJ217+AA217)*'Retirement Planning'!$J$44)-$G217-$X217,L217)),0))</f>
        <v>0</v>
      </c>
      <c r="N217" s="57">
        <f ca="1">(N216-O216)*(1+'Retirement Planning'!$J$23/12)</f>
        <v>0</v>
      </c>
      <c r="O217" s="59">
        <f ca="1">IF(B217&gt;59.5,MAX(0,MIN((AA217+$Y217+$AJ217)*(IF(D217&lt;(MIN(E205:E216)+1),1,'Retirement Planning'!$J$44))-M217-$G217-$X217-(IF(D217&lt;(MIN(E205:E216)+1),D217,0)),N217)),0)</f>
        <v>0</v>
      </c>
      <c r="P217" s="57">
        <f t="shared" si="98"/>
        <v>0</v>
      </c>
      <c r="Q217" s="58">
        <f t="shared" si="99"/>
        <v>0</v>
      </c>
      <c r="R217" s="57">
        <f ca="1">(R216-S216-T216)*(1+'Retirement Planning'!$J$23/12)</f>
        <v>494501.23262377176</v>
      </c>
      <c r="S217" s="58">
        <f t="shared" ca="1" si="100"/>
        <v>808.33333333333337</v>
      </c>
      <c r="T217" s="273">
        <f t="shared" ca="1" si="87"/>
        <v>1.3642420526593924E-12</v>
      </c>
      <c r="U217" s="57">
        <f ca="1">(U216-V216)*(1+'Retirement Planning'!$J$23/12)</f>
        <v>367365.36978933739</v>
      </c>
      <c r="V217" s="24">
        <f ca="1">IF(AND($B$10&lt;55,B217&lt;59.5),MIN(U217,MAX(0,(Y217+AA217+AJ217-G217)*'Retirement Planning'!$J$45)),IF(B217&lt;59.5,(MIN(U217,MAX(0,((Y217+AA217+AJ217)-G217-M217)*'Retirement Planning'!$J$45))),MIN(U217,MAX(0,(Y217+AA217+AJ217-G217-M217-K217-X217)*'Retirement Planning'!$J$45))))</f>
        <v>1034.6918934265607</v>
      </c>
      <c r="W217" s="7">
        <f t="shared" ca="1" si="88"/>
        <v>2684422.3251811843</v>
      </c>
      <c r="X217" s="7">
        <f>(IF(B217&gt;'Retirement Planning'!$J$34,IF('Retirement Planning'!$J$34=70,'Retirement Planning'!$J$37/12,IF('Retirement Planning'!$J$34=67,'Retirement Planning'!$J$36/12,'Retirement Planning'!$J$35/12)),0))*'Retirement Planning'!$J$38</f>
        <v>1213.6000000000001</v>
      </c>
      <c r="Y217" s="7">
        <f ca="1">'Retirement Planning'!$F$35*((1+'Retirement Planning'!$J$24)^(YEAR('Projected Retirement Drawdown'!C217)-YEAR(TODAY())))</f>
        <v>9317.1087646924243</v>
      </c>
      <c r="Z217" s="7">
        <f ca="1">G217+M217+O217+0.85*X217+V217*'Retirement Planning'!$J$46+T217</f>
        <v>9976.2903546056004</v>
      </c>
      <c r="AA217" s="7">
        <f ca="1">IF(MONTH(C217)=1,(((MIN(MAX(0,((SUM(Z205:Z216)-'Retirement Planning'!$I$53-'Retirement Planning'!$I$54)-'Retirement Planning'!$J$51)*'Retirement Planning'!$I$52))))+(MIN(MAX(0,((SUM(Z205:Z216)-'Retirement Planning'!$I$53-'Retirement Planning'!$I$54)-'Retirement Planning'!$J$50)*'Retirement Planning'!$I$51),('Retirement Planning'!$J$51-'Retirement Planning'!$J$50)*'Retirement Planning'!$I$51))+(MIN(MAX(0,((SUM(Z205:Z216)-'Retirement Planning'!$I$53-'Retirement Planning'!$I$54)-'Retirement Planning'!$J$49)*'Retirement Planning'!$I$50),('Retirement Planning'!$J$50-'Retirement Planning'!$J$49)*'Retirement Planning'!$I$50)+MIN(MAX(0,((SUM(Z205:Z216)-'Retirement Planning'!$I$53-'Retirement Planning'!$I$54)-'Retirement Planning'!$J$48)*'Retirement Planning'!$I$49),('Retirement Planning'!$J$49-'Retirement Planning'!$J$48)*'Retirement Planning'!$I$49)+MIN(((SUM(Z205:Z216)-'Retirement Planning'!$I$53-'Retirement Planning'!$I$54))*'Retirement Planning'!$I$48,('Retirement Planning'!$J$48)*'Retirement Planning'!$I$48))+(IF((SUM(Z205:Z216)-'Retirement Planning'!$I$54-'Retirement Planning'!$I$61)&gt;'Retirement Planning'!$J$59,(SUM(Z205:Z216)-'Retirement Planning'!$I$54-'Retirement Planning'!$I$61-'Retirement Planning'!$J$59)*'Retirement Planning'!$I$60+'Retirement Planning'!$K$59,IF((SUM(Z205:Z216)-'Retirement Planning'!$I$54-'Retirement Planning'!$I$61)&gt;'Retirement Planning'!$J$58,(SUM(Z205:Z216)-'Retirement Planning'!$I$54-'Retirement Planning'!$I$61-'Retirement Planning'!$J$58)*'Retirement Planning'!$I$59+'Retirement Planning'!$K$58,IF((SUM(Z205:Z216)-'Retirement Planning'!$I$54-'Retirement Planning'!$I$61)&gt;'Retirement Planning'!$J$57,(SUM(Z205:Z216)-'Retirement Planning'!$I$54-'Retirement Planning'!$I$61-'Retirement Planning'!$J$57)*'Retirement Planning'!$I$58+'Retirement Planning'!$K$57,IF((SUM(Z205:Z216)-'Retirement Planning'!$I$54-'Retirement Planning'!$I$61)&gt;'Retirement Planning'!$J$56,(SUM(Z205:Z216)-'Retirement Planning'!$I$54-'Retirement Planning'!$I$61-'Retirement Planning'!$J$56)*'Retirement Planning'!$I$57+'Retirement Planning'!$K$56,(SUM(Z205:Z216)-'Retirement Planning'!$I$54-'Retirement Planning'!$I$61)*'Retirement Planning'!$I$56))))))/12,AA216)</f>
        <v>2204.8045849631194</v>
      </c>
      <c r="AB217" s="104">
        <f t="shared" ca="1" si="77"/>
        <v>0.229488912532501</v>
      </c>
      <c r="AC217" s="7">
        <f>IF(B217&lt;65,'Retirement Planning'!$J$28,0)</f>
        <v>0</v>
      </c>
      <c r="AD217" s="7">
        <f>IF(B217&lt;65,'Retirement Planning'!$J$29/12,0)</f>
        <v>0</v>
      </c>
      <c r="AE217" s="22">
        <f>'Retirement Planning'!$J$31/12</f>
        <v>58.333333333333336</v>
      </c>
      <c r="AF217" s="22">
        <f>'Retirement Planning'!$J$32/12</f>
        <v>66.666666666666671</v>
      </c>
      <c r="AG217" s="7">
        <f>IF($B217&gt;64.9,'Retirement Planning'!$J$39/12,0)</f>
        <v>183.33333333333334</v>
      </c>
      <c r="AH217" s="7">
        <f>IF($B217&gt;64.9,'Retirement Planning'!$J$40/12,0)</f>
        <v>258.33333333333331</v>
      </c>
      <c r="AI217" s="7">
        <f>IF($B217&gt;64.9,'Retirement Planning'!$J$41/12,0)</f>
        <v>558.33333333333337</v>
      </c>
      <c r="AJ217" s="7">
        <f t="shared" ca="1" si="89"/>
        <v>316.66666666666663</v>
      </c>
      <c r="AK217" s="3" t="str">
        <f t="shared" ca="1" si="90"/>
        <v>N/A</v>
      </c>
      <c r="AL217" s="6" t="str">
        <f t="shared" ca="1" si="91"/>
        <v>N/A</v>
      </c>
      <c r="AM217" s="7">
        <f t="shared" ca="1" si="92"/>
        <v>1.1368683772161603E-12</v>
      </c>
      <c r="AN217" s="7">
        <f t="shared" ca="1" si="93"/>
        <v>12646.913349655544</v>
      </c>
      <c r="AO217" s="7">
        <f t="shared" si="94"/>
        <v>1125</v>
      </c>
    </row>
    <row r="218" spans="1:41" x14ac:dyDescent="0.2">
      <c r="A218">
        <f t="shared" si="95"/>
        <v>50</v>
      </c>
      <c r="B218" s="5">
        <f t="shared" si="96"/>
        <v>73.599999999999994</v>
      </c>
      <c r="C218" s="56">
        <f t="shared" si="97"/>
        <v>52749</v>
      </c>
      <c r="D218" s="57">
        <f ca="1">IF(AND(B217&lt;59.5,OR(B218&gt;59.5,B218=59.5)),(D217-E217+J217-K217)*(1+'Retirement Planning'!$J$23/12),(D217-E217)*(1+'Retirement Planning'!$J$23/12))</f>
        <v>445758.53461541439</v>
      </c>
      <c r="E218" s="58">
        <f t="shared" ca="1" si="84"/>
        <v>1214.6383096746576</v>
      </c>
      <c r="F218" s="57">
        <f ca="1">IF(AND(OR(B218&gt;59.5,B218=59.5),B217&lt;59.5),(F217-G217+L217-M217+N217-O217)*(1+'Retirement Planning'!$J$23/12),(F217-G217)*(1+'Retirement Planning'!$J$23/12))</f>
        <v>1380048.7385251683</v>
      </c>
      <c r="G218" s="58">
        <f ca="1">IF(AND($B$10&lt;55,B218&lt;59.5),'Retirement Planning'!$J$25,IF(OR(B218&gt;59.5,B218=59.5),MAX(0,MIN(F218,IF(D218&lt;2500,((Y218+AJ218+AA218))-X218,((Y218+AJ218+AA218)*'Retirement Planning'!$J$44)-X218))),0))</f>
        <v>8375.6498132209908</v>
      </c>
      <c r="H218" s="255">
        <f ca="1">IF(MONTH(C218)=1,IF(B218&gt;69.5,F218/(INDEX('Retirement Planning'!D$1:D$264,(160+INT(B218))))/12,0),IF(F218=0,0,H217))</f>
        <v>7384.3386680573531</v>
      </c>
      <c r="I218" s="262">
        <f t="shared" ca="1" si="85"/>
        <v>0</v>
      </c>
      <c r="J218" s="254">
        <f ca="1">IF(AND(B217&lt;59.5,OR(B218=59.5,B218&gt;59.5)),0,(J217-K217)*(1+'Retirement Planning'!$J$23/12))</f>
        <v>0</v>
      </c>
      <c r="K218" s="58">
        <f t="shared" ca="1" si="86"/>
        <v>0</v>
      </c>
      <c r="L218" s="57">
        <f>IF(AND(OR(B218&gt;59.5,B218=59.5),B217&lt;59.5),0,(L217-M217)*(1+'Retirement Planning'!$J$23/12))</f>
        <v>0</v>
      </c>
      <c r="M218" s="59">
        <f>IF(AND($B$10&lt;55,B218&lt;59.5),0,IF(B218&lt;59.5,MAX(0,MIN((($Y218+$AJ218+AA218)*'Retirement Planning'!$J$44)-$G218-$X218,L218)),0))</f>
        <v>0</v>
      </c>
      <c r="N218" s="57">
        <f ca="1">(N217-O217)*(1+'Retirement Planning'!$J$23/12)</f>
        <v>0</v>
      </c>
      <c r="O218" s="59">
        <f ca="1">IF(B218&gt;59.5,MAX(0,MIN((AA218+$Y218+$AJ218)*(IF(D218&lt;(MIN(E206:E217)+1),1,'Retirement Planning'!$J$44))-M218-$G218-$X218-(IF(D218&lt;(MIN(E206:E217)+1),D218,0)),N218)),0)</f>
        <v>0</v>
      </c>
      <c r="P218" s="57">
        <f t="shared" si="98"/>
        <v>0</v>
      </c>
      <c r="Q218" s="58">
        <f t="shared" si="99"/>
        <v>0</v>
      </c>
      <c r="R218" s="57">
        <f ca="1">(R217-S217-T217)*(1+'Retirement Planning'!$J$23/12)</f>
        <v>497189.89066041238</v>
      </c>
      <c r="S218" s="58">
        <f t="shared" ca="1" si="100"/>
        <v>808.33333333333337</v>
      </c>
      <c r="T218" s="273">
        <f t="shared" ca="1" si="87"/>
        <v>1.3642420526593924E-12</v>
      </c>
      <c r="U218" s="57">
        <f ca="1">(U217-V217)*(1+'Retirement Planning'!$J$23/12)</f>
        <v>368925.52019767353</v>
      </c>
      <c r="V218" s="24">
        <f ca="1">IF(AND($B$10&lt;55,B218&lt;59.5),MIN(U218,MAX(0,(Y218+AA218+AJ218-G218)*'Retirement Planning'!$J$45)),IF(B218&lt;59.5,(MIN(U218,MAX(0,((Y218+AA218+AJ218)-G218-M218)*'Retirement Planning'!$J$45))),MIN(U218,MAX(0,(Y218+AA218+AJ218-G218-M218-K218-X218)*'Retirement Planning'!$J$45))))</f>
        <v>1034.6918934265607</v>
      </c>
      <c r="W218" s="7">
        <f t="shared" ca="1" si="88"/>
        <v>2691922.6839986686</v>
      </c>
      <c r="X218" s="7">
        <f>(IF(B218&gt;'Retirement Planning'!$J$34,IF('Retirement Planning'!$J$34=70,'Retirement Planning'!$J$37/12,IF('Retirement Planning'!$J$34=67,'Retirement Planning'!$J$36/12,'Retirement Planning'!$J$35/12)),0))*'Retirement Planning'!$J$38</f>
        <v>1213.6000000000001</v>
      </c>
      <c r="Y218" s="7">
        <f ca="1">'Retirement Planning'!$F$35*((1+'Retirement Planning'!$J$24)^(YEAR('Projected Retirement Drawdown'!C218)-YEAR(TODAY())))</f>
        <v>9317.1087646924243</v>
      </c>
      <c r="Z218" s="7">
        <f ca="1">G218+M218+O218+0.85*X218+V218*'Retirement Planning'!$J$46+T218</f>
        <v>9976.2903546056004</v>
      </c>
      <c r="AA218" s="7">
        <f ca="1">IF(MONTH(C218)=1,(((MIN(MAX(0,((SUM(Z206:Z217)-'Retirement Planning'!$I$53-'Retirement Planning'!$I$54)-'Retirement Planning'!$J$51)*'Retirement Planning'!$I$52))))+(MIN(MAX(0,((SUM(Z206:Z217)-'Retirement Planning'!$I$53-'Retirement Planning'!$I$54)-'Retirement Planning'!$J$50)*'Retirement Planning'!$I$51),('Retirement Planning'!$J$51-'Retirement Planning'!$J$50)*'Retirement Planning'!$I$51))+(MIN(MAX(0,((SUM(Z206:Z217)-'Retirement Planning'!$I$53-'Retirement Planning'!$I$54)-'Retirement Planning'!$J$49)*'Retirement Planning'!$I$50),('Retirement Planning'!$J$50-'Retirement Planning'!$J$49)*'Retirement Planning'!$I$50)+MIN(MAX(0,((SUM(Z206:Z217)-'Retirement Planning'!$I$53-'Retirement Planning'!$I$54)-'Retirement Planning'!$J$48)*'Retirement Planning'!$I$49),('Retirement Planning'!$J$49-'Retirement Planning'!$J$48)*'Retirement Planning'!$I$49)+MIN(((SUM(Z206:Z217)-'Retirement Planning'!$I$53-'Retirement Planning'!$I$54))*'Retirement Planning'!$I$48,('Retirement Planning'!$J$48)*'Retirement Planning'!$I$48))+(IF((SUM(Z206:Z217)-'Retirement Planning'!$I$54-'Retirement Planning'!$I$61)&gt;'Retirement Planning'!$J$59,(SUM(Z206:Z217)-'Retirement Planning'!$I$54-'Retirement Planning'!$I$61-'Retirement Planning'!$J$59)*'Retirement Planning'!$I$60+'Retirement Planning'!$K$59,IF((SUM(Z206:Z217)-'Retirement Planning'!$I$54-'Retirement Planning'!$I$61)&gt;'Retirement Planning'!$J$58,(SUM(Z206:Z217)-'Retirement Planning'!$I$54-'Retirement Planning'!$I$61-'Retirement Planning'!$J$58)*'Retirement Planning'!$I$59+'Retirement Planning'!$K$58,IF((SUM(Z206:Z217)-'Retirement Planning'!$I$54-'Retirement Planning'!$I$61)&gt;'Retirement Planning'!$J$57,(SUM(Z206:Z217)-'Retirement Planning'!$I$54-'Retirement Planning'!$I$61-'Retirement Planning'!$J$57)*'Retirement Planning'!$I$58+'Retirement Planning'!$K$57,IF((SUM(Z206:Z217)-'Retirement Planning'!$I$54-'Retirement Planning'!$I$61)&gt;'Retirement Planning'!$J$56,(SUM(Z206:Z217)-'Retirement Planning'!$I$54-'Retirement Planning'!$I$61-'Retirement Planning'!$J$56)*'Retirement Planning'!$I$57+'Retirement Planning'!$K$56,(SUM(Z206:Z217)-'Retirement Planning'!$I$54-'Retirement Planning'!$I$61)*'Retirement Planning'!$I$56))))))/12,AA217)</f>
        <v>2204.8045849631194</v>
      </c>
      <c r="AB218" s="104">
        <f t="shared" ca="1" si="77"/>
        <v>0.229488912532501</v>
      </c>
      <c r="AC218" s="7">
        <f>IF(B218&lt;65,'Retirement Planning'!$J$28,0)</f>
        <v>0</v>
      </c>
      <c r="AD218" s="7">
        <f>IF(B218&lt;65,'Retirement Planning'!$J$29/12,0)</f>
        <v>0</v>
      </c>
      <c r="AE218" s="22">
        <f>'Retirement Planning'!$J$31/12</f>
        <v>58.333333333333336</v>
      </c>
      <c r="AF218" s="22">
        <f>'Retirement Planning'!$J$32/12</f>
        <v>66.666666666666671</v>
      </c>
      <c r="AG218" s="7">
        <f>IF($B218&gt;64.9,'Retirement Planning'!$J$39/12,0)</f>
        <v>183.33333333333334</v>
      </c>
      <c r="AH218" s="7">
        <f>IF($B218&gt;64.9,'Retirement Planning'!$J$40/12,0)</f>
        <v>258.33333333333331</v>
      </c>
      <c r="AI218" s="7">
        <f>IF($B218&gt;64.9,'Retirement Planning'!$J$41/12,0)</f>
        <v>558.33333333333337</v>
      </c>
      <c r="AJ218" s="7">
        <f t="shared" ca="1" si="89"/>
        <v>316.66666666666663</v>
      </c>
      <c r="AK218" s="3" t="str">
        <f t="shared" ca="1" si="90"/>
        <v>N/A</v>
      </c>
      <c r="AL218" s="6" t="str">
        <f t="shared" ca="1" si="91"/>
        <v>N/A</v>
      </c>
      <c r="AM218" s="7">
        <f t="shared" ca="1" si="92"/>
        <v>1.1368683772161603E-12</v>
      </c>
      <c r="AN218" s="7">
        <f t="shared" ca="1" si="93"/>
        <v>12646.913349655544</v>
      </c>
      <c r="AO218" s="7">
        <f t="shared" si="94"/>
        <v>1125</v>
      </c>
    </row>
    <row r="219" spans="1:41" x14ac:dyDescent="0.2">
      <c r="A219">
        <f t="shared" si="95"/>
        <v>50</v>
      </c>
      <c r="B219" s="5">
        <f t="shared" si="96"/>
        <v>73.7</v>
      </c>
      <c r="C219" s="56">
        <f t="shared" si="97"/>
        <v>52779</v>
      </c>
      <c r="D219" s="57">
        <f ca="1">IF(AND(B218&lt;59.5,OR(B219&gt;59.5,B219=59.5)),(D218-E218+J218-K218)*(1+'Retirement Planning'!$J$23/12),(D218-E218)*(1+'Retirement Planning'!$J$23/12))</f>
        <v>447692.7489045721</v>
      </c>
      <c r="E219" s="58">
        <f t="shared" ca="1" si="84"/>
        <v>1214.6383096746576</v>
      </c>
      <c r="F219" s="57">
        <f ca="1">IF(AND(OR(B219&gt;59.5,B219=59.5),B218&lt;59.5),(F218-G218+L218-M218+N218-O218)*(1+'Retirement Planning'!$J$23/12),(F218-G218)*(1+'Retirement Planning'!$J$23/12))</f>
        <v>1381389.1064236569</v>
      </c>
      <c r="G219" s="58">
        <f ca="1">IF(AND($B$10&lt;55,B219&lt;59.5),'Retirement Planning'!$J$25,IF(OR(B219&gt;59.5,B219=59.5),MAX(0,MIN(F219,IF(D219&lt;2500,((Y219+AJ219+AA219))-X219,((Y219+AJ219+AA219)*'Retirement Planning'!$J$44)-X219))),0))</f>
        <v>8375.6498132209908</v>
      </c>
      <c r="H219" s="255">
        <f ca="1">IF(MONTH(C219)=1,IF(B219&gt;69.5,F219/(INDEX('Retirement Planning'!D$1:D$264,(160+INT(B219))))/12,0),IF(F219=0,0,H218))</f>
        <v>7384.3386680573531</v>
      </c>
      <c r="I219" s="262">
        <f t="shared" ca="1" si="85"/>
        <v>0</v>
      </c>
      <c r="J219" s="254">
        <f ca="1">IF(AND(B218&lt;59.5,OR(B219=59.5,B219&gt;59.5)),0,(J218-K218)*(1+'Retirement Planning'!$J$23/12))</f>
        <v>0</v>
      </c>
      <c r="K219" s="58">
        <f t="shared" ca="1" si="86"/>
        <v>0</v>
      </c>
      <c r="L219" s="57">
        <f>IF(AND(OR(B219&gt;59.5,B219=59.5),B218&lt;59.5),0,(L218-M218)*(1+'Retirement Planning'!$J$23/12))</f>
        <v>0</v>
      </c>
      <c r="M219" s="59">
        <f>IF(AND($B$10&lt;55,B219&lt;59.5),0,IF(B219&lt;59.5,MAX(0,MIN((($Y219+$AJ219+AA219)*'Retirement Planning'!$J$44)-$G219-$X219,L219)),0))</f>
        <v>0</v>
      </c>
      <c r="N219" s="57">
        <f ca="1">(N218-O218)*(1+'Retirement Planning'!$J$23/12)</f>
        <v>0</v>
      </c>
      <c r="O219" s="59">
        <f ca="1">IF(B219&gt;59.5,MAX(0,MIN((AA219+$Y219+$AJ219)*(IF(D219&lt;(MIN(E207:E218)+1),1,'Retirement Planning'!$J$44))-M219-$G219-$X219-(IF(D219&lt;(MIN(E207:E218)+1),D219,0)),N219)),0)</f>
        <v>0</v>
      </c>
      <c r="P219" s="57">
        <f t="shared" si="98"/>
        <v>0</v>
      </c>
      <c r="Q219" s="58">
        <f t="shared" si="99"/>
        <v>0</v>
      </c>
      <c r="R219" s="57">
        <f ca="1">(R218-S218-T218)*(1+'Retirement Planning'!$J$23/12)</f>
        <v>499897.59335814585</v>
      </c>
      <c r="S219" s="58">
        <f t="shared" ca="1" si="100"/>
        <v>808.33333333333337</v>
      </c>
      <c r="T219" s="273">
        <f t="shared" ca="1" si="87"/>
        <v>1.3642420526593924E-12</v>
      </c>
      <c r="U219" s="57">
        <f ca="1">(U218-V218)*(1+'Retirement Planning'!$J$23/12)</f>
        <v>370496.72167140205</v>
      </c>
      <c r="V219" s="24">
        <f ca="1">IF(AND($B$10&lt;55,B219&lt;59.5),MIN(U219,MAX(0,(Y219+AA219+AJ219-G219)*'Retirement Planning'!$J$45)),IF(B219&lt;59.5,(MIN(U219,MAX(0,((Y219+AA219+AJ219)-G219-M219)*'Retirement Planning'!$J$45))),MIN(U219,MAX(0,(Y219+AA219+AJ219-G219-M219-K219-X219)*'Retirement Planning'!$J$45))))</f>
        <v>1034.6918934265607</v>
      </c>
      <c r="W219" s="7">
        <f t="shared" ca="1" si="88"/>
        <v>2699476.1703577768</v>
      </c>
      <c r="X219" s="7">
        <f>(IF(B219&gt;'Retirement Planning'!$J$34,IF('Retirement Planning'!$J$34=70,'Retirement Planning'!$J$37/12,IF('Retirement Planning'!$J$34=67,'Retirement Planning'!$J$36/12,'Retirement Planning'!$J$35/12)),0))*'Retirement Planning'!$J$38</f>
        <v>1213.6000000000001</v>
      </c>
      <c r="Y219" s="7">
        <f ca="1">'Retirement Planning'!$F$35*((1+'Retirement Planning'!$J$24)^(YEAR('Projected Retirement Drawdown'!C219)-YEAR(TODAY())))</f>
        <v>9317.1087646924243</v>
      </c>
      <c r="Z219" s="7">
        <f ca="1">G219+M219+O219+0.85*X219+V219*'Retirement Planning'!$J$46+T219</f>
        <v>9976.2903546056004</v>
      </c>
      <c r="AA219" s="7">
        <f ca="1">IF(MONTH(C219)=1,(((MIN(MAX(0,((SUM(Z207:Z218)-'Retirement Planning'!$I$53-'Retirement Planning'!$I$54)-'Retirement Planning'!$J$51)*'Retirement Planning'!$I$52))))+(MIN(MAX(0,((SUM(Z207:Z218)-'Retirement Planning'!$I$53-'Retirement Planning'!$I$54)-'Retirement Planning'!$J$50)*'Retirement Planning'!$I$51),('Retirement Planning'!$J$51-'Retirement Planning'!$J$50)*'Retirement Planning'!$I$51))+(MIN(MAX(0,((SUM(Z207:Z218)-'Retirement Planning'!$I$53-'Retirement Planning'!$I$54)-'Retirement Planning'!$J$49)*'Retirement Planning'!$I$50),('Retirement Planning'!$J$50-'Retirement Planning'!$J$49)*'Retirement Planning'!$I$50)+MIN(MAX(0,((SUM(Z207:Z218)-'Retirement Planning'!$I$53-'Retirement Planning'!$I$54)-'Retirement Planning'!$J$48)*'Retirement Planning'!$I$49),('Retirement Planning'!$J$49-'Retirement Planning'!$J$48)*'Retirement Planning'!$I$49)+MIN(((SUM(Z207:Z218)-'Retirement Planning'!$I$53-'Retirement Planning'!$I$54))*'Retirement Planning'!$I$48,('Retirement Planning'!$J$48)*'Retirement Planning'!$I$48))+(IF((SUM(Z207:Z218)-'Retirement Planning'!$I$54-'Retirement Planning'!$I$61)&gt;'Retirement Planning'!$J$59,(SUM(Z207:Z218)-'Retirement Planning'!$I$54-'Retirement Planning'!$I$61-'Retirement Planning'!$J$59)*'Retirement Planning'!$I$60+'Retirement Planning'!$K$59,IF((SUM(Z207:Z218)-'Retirement Planning'!$I$54-'Retirement Planning'!$I$61)&gt;'Retirement Planning'!$J$58,(SUM(Z207:Z218)-'Retirement Planning'!$I$54-'Retirement Planning'!$I$61-'Retirement Planning'!$J$58)*'Retirement Planning'!$I$59+'Retirement Planning'!$K$58,IF((SUM(Z207:Z218)-'Retirement Planning'!$I$54-'Retirement Planning'!$I$61)&gt;'Retirement Planning'!$J$57,(SUM(Z207:Z218)-'Retirement Planning'!$I$54-'Retirement Planning'!$I$61-'Retirement Planning'!$J$57)*'Retirement Planning'!$I$58+'Retirement Planning'!$K$57,IF((SUM(Z207:Z218)-'Retirement Planning'!$I$54-'Retirement Planning'!$I$61)&gt;'Retirement Planning'!$J$56,(SUM(Z207:Z218)-'Retirement Planning'!$I$54-'Retirement Planning'!$I$61-'Retirement Planning'!$J$56)*'Retirement Planning'!$I$57+'Retirement Planning'!$K$56,(SUM(Z207:Z218)-'Retirement Planning'!$I$54-'Retirement Planning'!$I$61)*'Retirement Planning'!$I$56))))))/12,AA218)</f>
        <v>2204.8045849631194</v>
      </c>
      <c r="AB219" s="104">
        <f t="shared" ca="1" si="77"/>
        <v>0.229488912532501</v>
      </c>
      <c r="AC219" s="7">
        <f>IF(B219&lt;65,'Retirement Planning'!$J$28,0)</f>
        <v>0</v>
      </c>
      <c r="AD219" s="7">
        <f>IF(B219&lt;65,'Retirement Planning'!$J$29/12,0)</f>
        <v>0</v>
      </c>
      <c r="AE219" s="22">
        <f>'Retirement Planning'!$J$31/12</f>
        <v>58.333333333333336</v>
      </c>
      <c r="AF219" s="22">
        <f>'Retirement Planning'!$J$32/12</f>
        <v>66.666666666666671</v>
      </c>
      <c r="AG219" s="7">
        <f>IF($B219&gt;64.9,'Retirement Planning'!$J$39/12,0)</f>
        <v>183.33333333333334</v>
      </c>
      <c r="AH219" s="7">
        <f>IF($B219&gt;64.9,'Retirement Planning'!$J$40/12,0)</f>
        <v>258.33333333333331</v>
      </c>
      <c r="AI219" s="7">
        <f>IF($B219&gt;64.9,'Retirement Planning'!$J$41/12,0)</f>
        <v>558.33333333333337</v>
      </c>
      <c r="AJ219" s="7">
        <f t="shared" ca="1" si="89"/>
        <v>316.66666666666663</v>
      </c>
      <c r="AK219" s="3" t="str">
        <f t="shared" ca="1" si="90"/>
        <v>N/A</v>
      </c>
      <c r="AL219" s="6" t="str">
        <f t="shared" ca="1" si="91"/>
        <v>N/A</v>
      </c>
      <c r="AM219" s="7">
        <f t="shared" ca="1" si="92"/>
        <v>1.1368683772161603E-12</v>
      </c>
      <c r="AN219" s="7">
        <f t="shared" ca="1" si="93"/>
        <v>12646.913349655544</v>
      </c>
      <c r="AO219" s="7">
        <f t="shared" si="94"/>
        <v>1125</v>
      </c>
    </row>
    <row r="220" spans="1:41" x14ac:dyDescent="0.2">
      <c r="A220">
        <f t="shared" si="95"/>
        <v>50</v>
      </c>
      <c r="B220" s="5">
        <f t="shared" si="96"/>
        <v>73.8</v>
      </c>
      <c r="C220" s="56">
        <f t="shared" si="97"/>
        <v>52810</v>
      </c>
      <c r="D220" s="57">
        <f ca="1">IF(AND(B219&lt;59.5,OR(B220&gt;59.5,B220=59.5)),(D219-E219+J219-K219)*(1+'Retirement Planning'!$J$23/12),(D219-E219)*(1+'Retirement Planning'!$J$23/12))</f>
        <v>449640.66387827793</v>
      </c>
      <c r="E220" s="58">
        <f t="shared" ca="1" si="84"/>
        <v>1214.6383096746576</v>
      </c>
      <c r="F220" s="57">
        <f ca="1">IF(AND(OR(B220&gt;59.5,B220=59.5),B219&lt;59.5),(F219-G219+L219-M219+N219-O219)*(1+'Retirement Planning'!$J$23/12),(F219-G219)*(1+'Retirement Planning'!$J$23/12))</f>
        <v>1382738.9685947597</v>
      </c>
      <c r="G220" s="58">
        <f ca="1">IF(AND($B$10&lt;55,B220&lt;59.5),'Retirement Planning'!$J$25,IF(OR(B220&gt;59.5,B220=59.5),MAX(0,MIN(F220,IF(D220&lt;2500,((Y220+AJ220+AA220))-X220,((Y220+AJ220+AA220)*'Retirement Planning'!$J$44)-X220))),0))</f>
        <v>8375.6498132209908</v>
      </c>
      <c r="H220" s="255">
        <f ca="1">IF(MONTH(C220)=1,IF(B220&gt;69.5,F220/(INDEX('Retirement Planning'!D$1:D$264,(160+INT(B220))))/12,0),IF(F220=0,0,H219))</f>
        <v>7384.3386680573531</v>
      </c>
      <c r="I220" s="262">
        <f t="shared" ca="1" si="85"/>
        <v>0</v>
      </c>
      <c r="J220" s="254">
        <f ca="1">IF(AND(B219&lt;59.5,OR(B220=59.5,B220&gt;59.5)),0,(J219-K219)*(1+'Retirement Planning'!$J$23/12))</f>
        <v>0</v>
      </c>
      <c r="K220" s="58">
        <f t="shared" ca="1" si="86"/>
        <v>0</v>
      </c>
      <c r="L220" s="57">
        <f>IF(AND(OR(B220&gt;59.5,B220=59.5),B219&lt;59.5),0,(L219-M219)*(1+'Retirement Planning'!$J$23/12))</f>
        <v>0</v>
      </c>
      <c r="M220" s="59">
        <f>IF(AND($B$10&lt;55,B220&lt;59.5),0,IF(B220&lt;59.5,MAX(0,MIN((($Y220+$AJ220+AA220)*'Retirement Planning'!$J$44)-$G220-$X220,L220)),0))</f>
        <v>0</v>
      </c>
      <c r="N220" s="57">
        <f ca="1">(N219-O219)*(1+'Retirement Planning'!$J$23/12)</f>
        <v>0</v>
      </c>
      <c r="O220" s="59">
        <f ca="1">IF(B220&gt;59.5,MAX(0,MIN((AA220+$Y220+$AJ220)*(IF(D220&lt;(MIN(E208:E219)+1),1,'Retirement Planning'!$J$44))-M220-$G220-$X220-(IF(D220&lt;(MIN(E208:E219)+1),D220,0)),N220)),0)</f>
        <v>0</v>
      </c>
      <c r="P220" s="57">
        <f t="shared" si="98"/>
        <v>0</v>
      </c>
      <c r="Q220" s="58">
        <f t="shared" si="99"/>
        <v>0</v>
      </c>
      <c r="R220" s="57">
        <f ca="1">(R219-S219-T219)*(1+'Retirement Planning'!$J$23/12)</f>
        <v>502624.47561665496</v>
      </c>
      <c r="S220" s="58">
        <f t="shared" ca="1" si="100"/>
        <v>808.33333333333337</v>
      </c>
      <c r="T220" s="273">
        <f t="shared" ca="1" si="87"/>
        <v>1.3642420526593924E-12</v>
      </c>
      <c r="U220" s="57">
        <f ca="1">(U219-V219)*(1+'Retirement Planning'!$J$23/12)</f>
        <v>372079.05248890276</v>
      </c>
      <c r="V220" s="24">
        <f ca="1">IF(AND($B$10&lt;55,B220&lt;59.5),MIN(U220,MAX(0,(Y220+AA220+AJ220-G220)*'Retirement Planning'!$J$45)),IF(B220&lt;59.5,(MIN(U220,MAX(0,((Y220+AA220+AJ220)-G220-M220)*'Retirement Planning'!$J$45))),MIN(U220,MAX(0,(Y220+AA220+AJ220-G220-M220-K220-X220)*'Retirement Planning'!$J$45))))</f>
        <v>1034.6918934265607</v>
      </c>
      <c r="W220" s="7">
        <f t="shared" ca="1" si="88"/>
        <v>2707083.160578595</v>
      </c>
      <c r="X220" s="7">
        <f>(IF(B220&gt;'Retirement Planning'!$J$34,IF('Retirement Planning'!$J$34=70,'Retirement Planning'!$J$37/12,IF('Retirement Planning'!$J$34=67,'Retirement Planning'!$J$36/12,'Retirement Planning'!$J$35/12)),0))*'Retirement Planning'!$J$38</f>
        <v>1213.6000000000001</v>
      </c>
      <c r="Y220" s="7">
        <f ca="1">'Retirement Planning'!$F$35*((1+'Retirement Planning'!$J$24)^(YEAR('Projected Retirement Drawdown'!C220)-YEAR(TODAY())))</f>
        <v>9317.1087646924243</v>
      </c>
      <c r="Z220" s="7">
        <f ca="1">G220+M220+O220+0.85*X220+V220*'Retirement Planning'!$J$46+T220</f>
        <v>9976.2903546056004</v>
      </c>
      <c r="AA220" s="7">
        <f ca="1">IF(MONTH(C220)=1,(((MIN(MAX(0,((SUM(Z208:Z219)-'Retirement Planning'!$I$53-'Retirement Planning'!$I$54)-'Retirement Planning'!$J$51)*'Retirement Planning'!$I$52))))+(MIN(MAX(0,((SUM(Z208:Z219)-'Retirement Planning'!$I$53-'Retirement Planning'!$I$54)-'Retirement Planning'!$J$50)*'Retirement Planning'!$I$51),('Retirement Planning'!$J$51-'Retirement Planning'!$J$50)*'Retirement Planning'!$I$51))+(MIN(MAX(0,((SUM(Z208:Z219)-'Retirement Planning'!$I$53-'Retirement Planning'!$I$54)-'Retirement Planning'!$J$49)*'Retirement Planning'!$I$50),('Retirement Planning'!$J$50-'Retirement Planning'!$J$49)*'Retirement Planning'!$I$50)+MIN(MAX(0,((SUM(Z208:Z219)-'Retirement Planning'!$I$53-'Retirement Planning'!$I$54)-'Retirement Planning'!$J$48)*'Retirement Planning'!$I$49),('Retirement Planning'!$J$49-'Retirement Planning'!$J$48)*'Retirement Planning'!$I$49)+MIN(((SUM(Z208:Z219)-'Retirement Planning'!$I$53-'Retirement Planning'!$I$54))*'Retirement Planning'!$I$48,('Retirement Planning'!$J$48)*'Retirement Planning'!$I$48))+(IF((SUM(Z208:Z219)-'Retirement Planning'!$I$54-'Retirement Planning'!$I$61)&gt;'Retirement Planning'!$J$59,(SUM(Z208:Z219)-'Retirement Planning'!$I$54-'Retirement Planning'!$I$61-'Retirement Planning'!$J$59)*'Retirement Planning'!$I$60+'Retirement Planning'!$K$59,IF((SUM(Z208:Z219)-'Retirement Planning'!$I$54-'Retirement Planning'!$I$61)&gt;'Retirement Planning'!$J$58,(SUM(Z208:Z219)-'Retirement Planning'!$I$54-'Retirement Planning'!$I$61-'Retirement Planning'!$J$58)*'Retirement Planning'!$I$59+'Retirement Planning'!$K$58,IF((SUM(Z208:Z219)-'Retirement Planning'!$I$54-'Retirement Planning'!$I$61)&gt;'Retirement Planning'!$J$57,(SUM(Z208:Z219)-'Retirement Planning'!$I$54-'Retirement Planning'!$I$61-'Retirement Planning'!$J$57)*'Retirement Planning'!$I$58+'Retirement Planning'!$K$57,IF((SUM(Z208:Z219)-'Retirement Planning'!$I$54-'Retirement Planning'!$I$61)&gt;'Retirement Planning'!$J$56,(SUM(Z208:Z219)-'Retirement Planning'!$I$54-'Retirement Planning'!$I$61-'Retirement Planning'!$J$56)*'Retirement Planning'!$I$57+'Retirement Planning'!$K$56,(SUM(Z208:Z219)-'Retirement Planning'!$I$54-'Retirement Planning'!$I$61)*'Retirement Planning'!$I$56))))))/12,AA219)</f>
        <v>2204.8045849631194</v>
      </c>
      <c r="AB220" s="104">
        <f t="shared" ca="1" si="77"/>
        <v>0.229488912532501</v>
      </c>
      <c r="AC220" s="7">
        <f>IF(B220&lt;65,'Retirement Planning'!$J$28,0)</f>
        <v>0</v>
      </c>
      <c r="AD220" s="7">
        <f>IF(B220&lt;65,'Retirement Planning'!$J$29/12,0)</f>
        <v>0</v>
      </c>
      <c r="AE220" s="22">
        <f>'Retirement Planning'!$J$31/12</f>
        <v>58.333333333333336</v>
      </c>
      <c r="AF220" s="22">
        <f>'Retirement Planning'!$J$32/12</f>
        <v>66.666666666666671</v>
      </c>
      <c r="AG220" s="7">
        <f>IF($B220&gt;64.9,'Retirement Planning'!$J$39/12,0)</f>
        <v>183.33333333333334</v>
      </c>
      <c r="AH220" s="7">
        <f>IF($B220&gt;64.9,'Retirement Planning'!$J$40/12,0)</f>
        <v>258.33333333333331</v>
      </c>
      <c r="AI220" s="7">
        <f>IF($B220&gt;64.9,'Retirement Planning'!$J$41/12,0)</f>
        <v>558.33333333333337</v>
      </c>
      <c r="AJ220" s="7">
        <f t="shared" ca="1" si="89"/>
        <v>316.66666666666663</v>
      </c>
      <c r="AK220" s="3" t="str">
        <f t="shared" ca="1" si="90"/>
        <v>N/A</v>
      </c>
      <c r="AL220" s="6" t="str">
        <f t="shared" ca="1" si="91"/>
        <v>N/A</v>
      </c>
      <c r="AM220" s="7">
        <f t="shared" ca="1" si="92"/>
        <v>1.1368683772161603E-12</v>
      </c>
      <c r="AN220" s="7">
        <f t="shared" ca="1" si="93"/>
        <v>12646.913349655544</v>
      </c>
      <c r="AO220" s="7">
        <f t="shared" si="94"/>
        <v>1125</v>
      </c>
    </row>
    <row r="221" spans="1:41" x14ac:dyDescent="0.2">
      <c r="A221">
        <f t="shared" si="95"/>
        <v>50</v>
      </c>
      <c r="B221" s="5">
        <f t="shared" si="96"/>
        <v>73.900000000000006</v>
      </c>
      <c r="C221" s="56">
        <f t="shared" si="97"/>
        <v>52841</v>
      </c>
      <c r="D221" s="57">
        <f ca="1">IF(AND(B220&lt;59.5,OR(B221&gt;59.5,B221=59.5)),(D220-E220+J220-K220)*(1+'Retirement Planning'!$J$23/12),(D220-E220)*(1+'Retirement Planning'!$J$23/12))</f>
        <v>451602.37658304756</v>
      </c>
      <c r="E221" s="58">
        <f t="shared" ca="1" si="84"/>
        <v>1214.6383096746576</v>
      </c>
      <c r="F221" s="57">
        <f ca="1">IF(AND(OR(B221&gt;59.5,B221=59.5),B220&lt;59.5),(F220-G220+L220-M220+N220-O220)*(1+'Retirement Planning'!$J$23/12),(F220-G220)*(1+'Retirement Planning'!$J$23/12))</f>
        <v>1384098.3922895745</v>
      </c>
      <c r="G221" s="58">
        <f ca="1">IF(AND($B$10&lt;55,B221&lt;59.5),'Retirement Planning'!$J$25,IF(OR(B221&gt;59.5,B221=59.5),MAX(0,MIN(F221,IF(D221&lt;2500,((Y221+AJ221+AA221))-X221,((Y221+AJ221+AA221)*'Retirement Planning'!$J$44)-X221))),0))</f>
        <v>8375.6498132209908</v>
      </c>
      <c r="H221" s="255">
        <f ca="1">IF(MONTH(C221)=1,IF(B221&gt;69.5,F221/(INDEX('Retirement Planning'!D$1:D$264,(160+INT(B221))))/12,0),IF(F221=0,0,H220))</f>
        <v>7384.3386680573531</v>
      </c>
      <c r="I221" s="262">
        <f t="shared" ca="1" si="85"/>
        <v>0</v>
      </c>
      <c r="J221" s="254">
        <f ca="1">IF(AND(B220&lt;59.5,OR(B221=59.5,B221&gt;59.5)),0,(J220-K220)*(1+'Retirement Planning'!$J$23/12))</f>
        <v>0</v>
      </c>
      <c r="K221" s="58">
        <f t="shared" ca="1" si="86"/>
        <v>0</v>
      </c>
      <c r="L221" s="57">
        <f>IF(AND(OR(B221&gt;59.5,B221=59.5),B220&lt;59.5),0,(L220-M220)*(1+'Retirement Planning'!$J$23/12))</f>
        <v>0</v>
      </c>
      <c r="M221" s="59">
        <f>IF(AND($B$10&lt;55,B221&lt;59.5),0,IF(B221&lt;59.5,MAX(0,MIN((($Y221+$AJ221+AA221)*'Retirement Planning'!$J$44)-$G221-$X221,L221)),0))</f>
        <v>0</v>
      </c>
      <c r="N221" s="57">
        <f ca="1">(N220-O220)*(1+'Retirement Planning'!$J$23/12)</f>
        <v>0</v>
      </c>
      <c r="O221" s="59">
        <f ca="1">IF(B221&gt;59.5,MAX(0,MIN((AA221+$Y221+$AJ221)*(IF(D221&lt;(MIN(E209:E220)+1),1,'Retirement Planning'!$J$44))-M221-$G221-$X221-(IF(D221&lt;(MIN(E209:E220)+1),D221,0)),N221)),0)</f>
        <v>0</v>
      </c>
      <c r="P221" s="57">
        <f t="shared" si="98"/>
        <v>0</v>
      </c>
      <c r="Q221" s="58">
        <f t="shared" si="99"/>
        <v>0</v>
      </c>
      <c r="R221" s="57">
        <f ca="1">(R220-S220-T220)*(1+'Retirement Planning'!$J$23/12)</f>
        <v>505370.67329116183</v>
      </c>
      <c r="S221" s="58">
        <f t="shared" ca="1" si="100"/>
        <v>808.33333333333337</v>
      </c>
      <c r="T221" s="273">
        <f t="shared" ca="1" si="87"/>
        <v>1.3642420526593924E-12</v>
      </c>
      <c r="U221" s="57">
        <f ca="1">(U220-V220)*(1+'Retirement Planning'!$J$23/12)</f>
        <v>373672.59148302744</v>
      </c>
      <c r="V221" s="24">
        <f ca="1">IF(AND($B$10&lt;55,B221&lt;59.5),MIN(U221,MAX(0,(Y221+AA221+AJ221-G221)*'Retirement Planning'!$J$45)),IF(B221&lt;59.5,(MIN(U221,MAX(0,((Y221+AA221+AJ221)-G221-M221)*'Retirement Planning'!$J$45))),MIN(U221,MAX(0,(Y221+AA221+AJ221-G221-M221-K221-X221)*'Retirement Planning'!$J$45))))</f>
        <v>1034.6918934265607</v>
      </c>
      <c r="W221" s="7">
        <f t="shared" ca="1" si="88"/>
        <v>2714744.0336468108</v>
      </c>
      <c r="X221" s="7">
        <f>(IF(B221&gt;'Retirement Planning'!$J$34,IF('Retirement Planning'!$J$34=70,'Retirement Planning'!$J$37/12,IF('Retirement Planning'!$J$34=67,'Retirement Planning'!$J$36/12,'Retirement Planning'!$J$35/12)),0))*'Retirement Planning'!$J$38</f>
        <v>1213.6000000000001</v>
      </c>
      <c r="Y221" s="7">
        <f ca="1">'Retirement Planning'!$F$35*((1+'Retirement Planning'!$J$24)^(YEAR('Projected Retirement Drawdown'!C221)-YEAR(TODAY())))</f>
        <v>9317.1087646924243</v>
      </c>
      <c r="Z221" s="7">
        <f ca="1">G221+M221+O221+0.85*X221+V221*'Retirement Planning'!$J$46+T221</f>
        <v>9976.2903546056004</v>
      </c>
      <c r="AA221" s="7">
        <f ca="1">IF(MONTH(C221)=1,(((MIN(MAX(0,((SUM(Z209:Z220)-'Retirement Planning'!$I$53-'Retirement Planning'!$I$54)-'Retirement Planning'!$J$51)*'Retirement Planning'!$I$52))))+(MIN(MAX(0,((SUM(Z209:Z220)-'Retirement Planning'!$I$53-'Retirement Planning'!$I$54)-'Retirement Planning'!$J$50)*'Retirement Planning'!$I$51),('Retirement Planning'!$J$51-'Retirement Planning'!$J$50)*'Retirement Planning'!$I$51))+(MIN(MAX(0,((SUM(Z209:Z220)-'Retirement Planning'!$I$53-'Retirement Planning'!$I$54)-'Retirement Planning'!$J$49)*'Retirement Planning'!$I$50),('Retirement Planning'!$J$50-'Retirement Planning'!$J$49)*'Retirement Planning'!$I$50)+MIN(MAX(0,((SUM(Z209:Z220)-'Retirement Planning'!$I$53-'Retirement Planning'!$I$54)-'Retirement Planning'!$J$48)*'Retirement Planning'!$I$49),('Retirement Planning'!$J$49-'Retirement Planning'!$J$48)*'Retirement Planning'!$I$49)+MIN(((SUM(Z209:Z220)-'Retirement Planning'!$I$53-'Retirement Planning'!$I$54))*'Retirement Planning'!$I$48,('Retirement Planning'!$J$48)*'Retirement Planning'!$I$48))+(IF((SUM(Z209:Z220)-'Retirement Planning'!$I$54-'Retirement Planning'!$I$61)&gt;'Retirement Planning'!$J$59,(SUM(Z209:Z220)-'Retirement Planning'!$I$54-'Retirement Planning'!$I$61-'Retirement Planning'!$J$59)*'Retirement Planning'!$I$60+'Retirement Planning'!$K$59,IF((SUM(Z209:Z220)-'Retirement Planning'!$I$54-'Retirement Planning'!$I$61)&gt;'Retirement Planning'!$J$58,(SUM(Z209:Z220)-'Retirement Planning'!$I$54-'Retirement Planning'!$I$61-'Retirement Planning'!$J$58)*'Retirement Planning'!$I$59+'Retirement Planning'!$K$58,IF((SUM(Z209:Z220)-'Retirement Planning'!$I$54-'Retirement Planning'!$I$61)&gt;'Retirement Planning'!$J$57,(SUM(Z209:Z220)-'Retirement Planning'!$I$54-'Retirement Planning'!$I$61-'Retirement Planning'!$J$57)*'Retirement Planning'!$I$58+'Retirement Planning'!$K$57,IF((SUM(Z209:Z220)-'Retirement Planning'!$I$54-'Retirement Planning'!$I$61)&gt;'Retirement Planning'!$J$56,(SUM(Z209:Z220)-'Retirement Planning'!$I$54-'Retirement Planning'!$I$61-'Retirement Planning'!$J$56)*'Retirement Planning'!$I$57+'Retirement Planning'!$K$56,(SUM(Z209:Z220)-'Retirement Planning'!$I$54-'Retirement Planning'!$I$61)*'Retirement Planning'!$I$56))))))/12,AA220)</f>
        <v>2204.8045849631194</v>
      </c>
      <c r="AB221" s="104">
        <f t="shared" ca="1" si="77"/>
        <v>0.229488912532501</v>
      </c>
      <c r="AC221" s="7">
        <f>IF(B221&lt;65,'Retirement Planning'!$J$28,0)</f>
        <v>0</v>
      </c>
      <c r="AD221" s="7">
        <f>IF(B221&lt;65,'Retirement Planning'!$J$29/12,0)</f>
        <v>0</v>
      </c>
      <c r="AE221" s="22">
        <f>'Retirement Planning'!$J$31/12</f>
        <v>58.333333333333336</v>
      </c>
      <c r="AF221" s="22">
        <f>'Retirement Planning'!$J$32/12</f>
        <v>66.666666666666671</v>
      </c>
      <c r="AG221" s="7">
        <f>IF($B221&gt;64.9,'Retirement Planning'!$J$39/12,0)</f>
        <v>183.33333333333334</v>
      </c>
      <c r="AH221" s="7">
        <f>IF($B221&gt;64.9,'Retirement Planning'!$J$40/12,0)</f>
        <v>258.33333333333331</v>
      </c>
      <c r="AI221" s="7">
        <f>IF($B221&gt;64.9,'Retirement Planning'!$J$41/12,0)</f>
        <v>558.33333333333337</v>
      </c>
      <c r="AJ221" s="7">
        <f t="shared" ca="1" si="89"/>
        <v>316.66666666666663</v>
      </c>
      <c r="AK221" s="3" t="str">
        <f t="shared" ca="1" si="90"/>
        <v>N/A</v>
      </c>
      <c r="AL221" s="6" t="str">
        <f t="shared" ca="1" si="91"/>
        <v>N/A</v>
      </c>
      <c r="AM221" s="7">
        <f t="shared" ca="1" si="92"/>
        <v>1.1368683772161603E-12</v>
      </c>
      <c r="AN221" s="7">
        <f t="shared" ca="1" si="93"/>
        <v>12646.913349655544</v>
      </c>
      <c r="AO221" s="7">
        <f t="shared" si="94"/>
        <v>1125</v>
      </c>
    </row>
    <row r="222" spans="1:41" x14ac:dyDescent="0.2">
      <c r="A222">
        <f t="shared" si="95"/>
        <v>50</v>
      </c>
      <c r="B222" s="5">
        <f t="shared" si="96"/>
        <v>74</v>
      </c>
      <c r="C222" s="56">
        <f t="shared" si="97"/>
        <v>52871</v>
      </c>
      <c r="D222" s="57">
        <f ca="1">IF(AND(B221&lt;59.5,OR(B222&gt;59.5,B222=59.5)),(D221-E221+J221-K221)*(1+'Retirement Planning'!$J$23/12),(D221-E221)*(1+'Retirement Planning'!$J$23/12))</f>
        <v>453577.98475280928</v>
      </c>
      <c r="E222" s="58">
        <f t="shared" ca="1" si="84"/>
        <v>1214.6383096746576</v>
      </c>
      <c r="F222" s="57">
        <f ca="1">IF(AND(OR(B222&gt;59.5,B222=59.5),B221&lt;59.5),(F221-G221+L221-M221+N221-O221)*(1+'Retirement Planning'!$J$23/12),(F221-G221)*(1+'Retirement Planning'!$J$23/12))</f>
        <v>1385467.4452355609</v>
      </c>
      <c r="G222" s="58">
        <f ca="1">IF(AND($B$10&lt;55,B222&lt;59.5),'Retirement Planning'!$J$25,IF(OR(B222&gt;59.5,B222=59.5),MAX(0,MIN(F222,IF(D222&lt;2500,((Y222+AJ222+AA222))-X222,((Y222+AJ222+AA222)*'Retirement Planning'!$J$44)-X222))),0))</f>
        <v>8375.6498132209908</v>
      </c>
      <c r="H222" s="255">
        <f ca="1">IF(MONTH(C222)=1,IF(B222&gt;69.5,F222/(INDEX('Retirement Planning'!D$1:D$264,(160+INT(B222))))/12,0),IF(F222=0,0,H221))</f>
        <v>7384.3386680573531</v>
      </c>
      <c r="I222" s="262">
        <f t="shared" ca="1" si="85"/>
        <v>0</v>
      </c>
      <c r="J222" s="254">
        <f ca="1">IF(AND(B221&lt;59.5,OR(B222=59.5,B222&gt;59.5)),0,(J221-K221)*(1+'Retirement Planning'!$J$23/12))</f>
        <v>0</v>
      </c>
      <c r="K222" s="58">
        <f t="shared" ca="1" si="86"/>
        <v>0</v>
      </c>
      <c r="L222" s="57">
        <f>IF(AND(OR(B222&gt;59.5,B222=59.5),B221&lt;59.5),0,(L221-M221)*(1+'Retirement Planning'!$J$23/12))</f>
        <v>0</v>
      </c>
      <c r="M222" s="59">
        <f>IF(AND($B$10&lt;55,B222&lt;59.5),0,IF(B222&lt;59.5,MAX(0,MIN((($Y222+$AJ222+AA222)*'Retirement Planning'!$J$44)-$G222-$X222,L222)),0))</f>
        <v>0</v>
      </c>
      <c r="N222" s="57">
        <f ca="1">(N221-O221)*(1+'Retirement Planning'!$J$23/12)</f>
        <v>0</v>
      </c>
      <c r="O222" s="59">
        <f ca="1">IF(B222&gt;59.5,MAX(0,MIN((AA222+$Y222+$AJ222)*(IF(D222&lt;(MIN(E210:E221)+1),1,'Retirement Planning'!$J$44))-M222-$G222-$X222-(IF(D222&lt;(MIN(E210:E221)+1),D222,0)),N222)),0)</f>
        <v>0</v>
      </c>
      <c r="P222" s="57">
        <f t="shared" si="98"/>
        <v>0</v>
      </c>
      <c r="Q222" s="58">
        <f t="shared" si="99"/>
        <v>0</v>
      </c>
      <c r="R222" s="57">
        <f ca="1">(R221-S221-T221)*(1+'Retirement Planning'!$J$23/12)</f>
        <v>508136.32319919649</v>
      </c>
      <c r="S222" s="58">
        <f t="shared" ca="1" si="100"/>
        <v>808.33333333333337</v>
      </c>
      <c r="T222" s="273">
        <f t="shared" ca="1" si="87"/>
        <v>1.3642420526593924E-12</v>
      </c>
      <c r="U222" s="57">
        <f ca="1">(U221-V221)*(1+'Retirement Planning'!$J$23/12)</f>
        <v>375277.41804502718</v>
      </c>
      <c r="V222" s="24">
        <f ca="1">IF(AND($B$10&lt;55,B222&lt;59.5),MIN(U222,MAX(0,(Y222+AA222+AJ222-G222)*'Retirement Planning'!$J$45)),IF(B222&lt;59.5,(MIN(U222,MAX(0,((Y222+AA222+AJ222)-G222-M222)*'Retirement Planning'!$J$45))),MIN(U222,MAX(0,(Y222+AA222+AJ222-G222-M222-K222-X222)*'Retirement Planning'!$J$45))))</f>
        <v>1034.6918934265607</v>
      </c>
      <c r="W222" s="7">
        <f t="shared" ca="1" si="88"/>
        <v>2722459.1712325942</v>
      </c>
      <c r="X222" s="7">
        <f>(IF(B222&gt;'Retirement Planning'!$J$34,IF('Retirement Planning'!$J$34=70,'Retirement Planning'!$J$37/12,IF('Retirement Planning'!$J$34=67,'Retirement Planning'!$J$36/12,'Retirement Planning'!$J$35/12)),0))*'Retirement Planning'!$J$38</f>
        <v>1213.6000000000001</v>
      </c>
      <c r="Y222" s="7">
        <f ca="1">'Retirement Planning'!$F$35*((1+'Retirement Planning'!$J$24)^(YEAR('Projected Retirement Drawdown'!C222)-YEAR(TODAY())))</f>
        <v>9317.1087646924243</v>
      </c>
      <c r="Z222" s="7">
        <f ca="1">G222+M222+O222+0.85*X222+V222*'Retirement Planning'!$J$46+T222</f>
        <v>9976.2903546056004</v>
      </c>
      <c r="AA222" s="7">
        <f ca="1">IF(MONTH(C222)=1,(((MIN(MAX(0,((SUM(Z210:Z221)-'Retirement Planning'!$I$53-'Retirement Planning'!$I$54)-'Retirement Planning'!$J$51)*'Retirement Planning'!$I$52))))+(MIN(MAX(0,((SUM(Z210:Z221)-'Retirement Planning'!$I$53-'Retirement Planning'!$I$54)-'Retirement Planning'!$J$50)*'Retirement Planning'!$I$51),('Retirement Planning'!$J$51-'Retirement Planning'!$J$50)*'Retirement Planning'!$I$51))+(MIN(MAX(0,((SUM(Z210:Z221)-'Retirement Planning'!$I$53-'Retirement Planning'!$I$54)-'Retirement Planning'!$J$49)*'Retirement Planning'!$I$50),('Retirement Planning'!$J$50-'Retirement Planning'!$J$49)*'Retirement Planning'!$I$50)+MIN(MAX(0,((SUM(Z210:Z221)-'Retirement Planning'!$I$53-'Retirement Planning'!$I$54)-'Retirement Planning'!$J$48)*'Retirement Planning'!$I$49),('Retirement Planning'!$J$49-'Retirement Planning'!$J$48)*'Retirement Planning'!$I$49)+MIN(((SUM(Z210:Z221)-'Retirement Planning'!$I$53-'Retirement Planning'!$I$54))*'Retirement Planning'!$I$48,('Retirement Planning'!$J$48)*'Retirement Planning'!$I$48))+(IF((SUM(Z210:Z221)-'Retirement Planning'!$I$54-'Retirement Planning'!$I$61)&gt;'Retirement Planning'!$J$59,(SUM(Z210:Z221)-'Retirement Planning'!$I$54-'Retirement Planning'!$I$61-'Retirement Planning'!$J$59)*'Retirement Planning'!$I$60+'Retirement Planning'!$K$59,IF((SUM(Z210:Z221)-'Retirement Planning'!$I$54-'Retirement Planning'!$I$61)&gt;'Retirement Planning'!$J$58,(SUM(Z210:Z221)-'Retirement Planning'!$I$54-'Retirement Planning'!$I$61-'Retirement Planning'!$J$58)*'Retirement Planning'!$I$59+'Retirement Planning'!$K$58,IF((SUM(Z210:Z221)-'Retirement Planning'!$I$54-'Retirement Planning'!$I$61)&gt;'Retirement Planning'!$J$57,(SUM(Z210:Z221)-'Retirement Planning'!$I$54-'Retirement Planning'!$I$61-'Retirement Planning'!$J$57)*'Retirement Planning'!$I$58+'Retirement Planning'!$K$57,IF((SUM(Z210:Z221)-'Retirement Planning'!$I$54-'Retirement Planning'!$I$61)&gt;'Retirement Planning'!$J$56,(SUM(Z210:Z221)-'Retirement Planning'!$I$54-'Retirement Planning'!$I$61-'Retirement Planning'!$J$56)*'Retirement Planning'!$I$57+'Retirement Planning'!$K$56,(SUM(Z210:Z221)-'Retirement Planning'!$I$54-'Retirement Planning'!$I$61)*'Retirement Planning'!$I$56))))))/12,AA221)</f>
        <v>2204.8045849631194</v>
      </c>
      <c r="AB222" s="104">
        <f t="shared" ca="1" si="77"/>
        <v>0.229488912532501</v>
      </c>
      <c r="AC222" s="7">
        <f>IF(B222&lt;65,'Retirement Planning'!$J$28,0)</f>
        <v>0</v>
      </c>
      <c r="AD222" s="7">
        <f>IF(B222&lt;65,'Retirement Planning'!$J$29/12,0)</f>
        <v>0</v>
      </c>
      <c r="AE222" s="22">
        <f>'Retirement Planning'!$J$31/12</f>
        <v>58.333333333333336</v>
      </c>
      <c r="AF222" s="22">
        <f>'Retirement Planning'!$J$32/12</f>
        <v>66.666666666666671</v>
      </c>
      <c r="AG222" s="7">
        <f>IF($B222&gt;64.9,'Retirement Planning'!$J$39/12,0)</f>
        <v>183.33333333333334</v>
      </c>
      <c r="AH222" s="7">
        <f>IF($B222&gt;64.9,'Retirement Planning'!$J$40/12,0)</f>
        <v>258.33333333333331</v>
      </c>
      <c r="AI222" s="7">
        <f>IF($B222&gt;64.9,'Retirement Planning'!$J$41/12,0)</f>
        <v>558.33333333333337</v>
      </c>
      <c r="AJ222" s="7">
        <f t="shared" ca="1" si="89"/>
        <v>316.66666666666663</v>
      </c>
      <c r="AK222" s="3" t="str">
        <f t="shared" ca="1" si="90"/>
        <v>N/A</v>
      </c>
      <c r="AL222" s="6" t="str">
        <f t="shared" ca="1" si="91"/>
        <v>N/A</v>
      </c>
      <c r="AM222" s="7">
        <f t="shared" ca="1" si="92"/>
        <v>1.1368683772161603E-12</v>
      </c>
      <c r="AN222" s="7">
        <f t="shared" ca="1" si="93"/>
        <v>12646.913349655544</v>
      </c>
      <c r="AO222" s="7">
        <f t="shared" si="94"/>
        <v>1125</v>
      </c>
    </row>
    <row r="223" spans="1:41" x14ac:dyDescent="0.2">
      <c r="A223">
        <f t="shared" si="95"/>
        <v>50</v>
      </c>
      <c r="B223" s="5">
        <f t="shared" si="96"/>
        <v>74</v>
      </c>
      <c r="C223" s="56">
        <f t="shared" si="97"/>
        <v>52902</v>
      </c>
      <c r="D223" s="57">
        <f ca="1">IF(AND(B222&lt;59.5,OR(B223&gt;59.5,B223=59.5)),(D222-E222+J222-K222)*(1+'Retirement Planning'!$J$23/12),(D222-E222)*(1+'Retirement Planning'!$J$23/12))</f>
        <v>455567.58681377344</v>
      </c>
      <c r="E223" s="58">
        <f t="shared" ca="1" si="84"/>
        <v>1214.6383096746576</v>
      </c>
      <c r="F223" s="57">
        <f ca="1">IF(AND(OR(B223&gt;59.5,B223=59.5),B222&lt;59.5),(F222-G222+L222-M222+N222-O222)*(1+'Retirement Planning'!$J$23/12),(F222-G222)*(1+'Retirement Planning'!$J$23/12))</f>
        <v>1386846.1956399146</v>
      </c>
      <c r="G223" s="58">
        <f ca="1">IF(AND($B$10&lt;55,B223&lt;59.5),'Retirement Planning'!$J$25,IF(OR(B223&gt;59.5,B223=59.5),MAX(0,MIN(F223,IF(D223&lt;2500,((Y223+AJ223+AA223))-X223,((Y223+AJ223+AA223)*'Retirement Planning'!$J$44)-X223))),0))</f>
        <v>8375.6498132209908</v>
      </c>
      <c r="H223" s="255">
        <f ca="1">IF(MONTH(C223)=1,IF(B223&gt;69.5,F223/(INDEX('Retirement Planning'!D$1:D$264,(160+INT(B223))))/12,0),IF(F223=0,0,H222))</f>
        <v>7384.3386680573531</v>
      </c>
      <c r="I223" s="262">
        <f t="shared" ca="1" si="85"/>
        <v>0</v>
      </c>
      <c r="J223" s="254">
        <f ca="1">IF(AND(B222&lt;59.5,OR(B223=59.5,B223&gt;59.5)),0,(J222-K222)*(1+'Retirement Planning'!$J$23/12))</f>
        <v>0</v>
      </c>
      <c r="K223" s="58">
        <f t="shared" ca="1" si="86"/>
        <v>0</v>
      </c>
      <c r="L223" s="57">
        <f>IF(AND(OR(B223&gt;59.5,B223=59.5),B222&lt;59.5),0,(L222-M222)*(1+'Retirement Planning'!$J$23/12))</f>
        <v>0</v>
      </c>
      <c r="M223" s="59">
        <f>IF(AND($B$10&lt;55,B223&lt;59.5),0,IF(B223&lt;59.5,MAX(0,MIN((($Y223+$AJ223+AA223)*'Retirement Planning'!$J$44)-$G223-$X223,L223)),0))</f>
        <v>0</v>
      </c>
      <c r="N223" s="57">
        <f ca="1">(N222-O222)*(1+'Retirement Planning'!$J$23/12)</f>
        <v>0</v>
      </c>
      <c r="O223" s="59">
        <f ca="1">IF(B223&gt;59.5,MAX(0,MIN((AA223+$Y223+$AJ223)*(IF(D223&lt;(MIN(E211:E222)+1),1,'Retirement Planning'!$J$44))-M223-$G223-$X223-(IF(D223&lt;(MIN(E211:E222)+1),D223,0)),N223)),0)</f>
        <v>0</v>
      </c>
      <c r="P223" s="57">
        <f t="shared" si="98"/>
        <v>0</v>
      </c>
      <c r="Q223" s="58">
        <f t="shared" si="99"/>
        <v>0</v>
      </c>
      <c r="R223" s="57">
        <f ca="1">(R222-S222-T222)*(1+'Retirement Planning'!$J$23/12)</f>
        <v>510921.56312741304</v>
      </c>
      <c r="S223" s="58">
        <f t="shared" ca="1" si="100"/>
        <v>808.33333333333337</v>
      </c>
      <c r="T223" s="273">
        <f t="shared" ca="1" si="87"/>
        <v>1.3642420526593924E-12</v>
      </c>
      <c r="U223" s="57">
        <f ca="1">(U222-V222)*(1+'Retirement Planning'!$J$23/12)</f>
        <v>376893.61212850775</v>
      </c>
      <c r="V223" s="24">
        <f ca="1">IF(AND($B$10&lt;55,B223&lt;59.5),MIN(U223,MAX(0,(Y223+AA223+AJ223-G223)*'Retirement Planning'!$J$45)),IF(B223&lt;59.5,(MIN(U223,MAX(0,((Y223+AA223+AJ223)-G223-M223)*'Retirement Planning'!$J$45))),MIN(U223,MAX(0,(Y223+AA223+AJ223-G223-M223-K223-X223)*'Retirement Planning'!$J$45))))</f>
        <v>1034.6918934265607</v>
      </c>
      <c r="W223" s="7">
        <f t="shared" ca="1" si="88"/>
        <v>2730228.9577096091</v>
      </c>
      <c r="X223" s="7">
        <f>(IF(B223&gt;'Retirement Planning'!$J$34,IF('Retirement Planning'!$J$34=70,'Retirement Planning'!$J$37/12,IF('Retirement Planning'!$J$34=67,'Retirement Planning'!$J$36/12,'Retirement Planning'!$J$35/12)),0))*'Retirement Planning'!$J$38</f>
        <v>1213.6000000000001</v>
      </c>
      <c r="Y223" s="7">
        <f ca="1">'Retirement Planning'!$F$35*((1+'Retirement Planning'!$J$24)^(YEAR('Projected Retirement Drawdown'!C223)-YEAR(TODAY())))</f>
        <v>9317.1087646924243</v>
      </c>
      <c r="Z223" s="7">
        <f ca="1">G223+M223+O223+0.85*X223+V223*'Retirement Planning'!$J$46+T223</f>
        <v>9976.2903546056004</v>
      </c>
      <c r="AA223" s="7">
        <f ca="1">IF(MONTH(C223)=1,(((MIN(MAX(0,((SUM(Z211:Z222)-'Retirement Planning'!$I$53-'Retirement Planning'!$I$54)-'Retirement Planning'!$J$51)*'Retirement Planning'!$I$52))))+(MIN(MAX(0,((SUM(Z211:Z222)-'Retirement Planning'!$I$53-'Retirement Planning'!$I$54)-'Retirement Planning'!$J$50)*'Retirement Planning'!$I$51),('Retirement Planning'!$J$51-'Retirement Planning'!$J$50)*'Retirement Planning'!$I$51))+(MIN(MAX(0,((SUM(Z211:Z222)-'Retirement Planning'!$I$53-'Retirement Planning'!$I$54)-'Retirement Planning'!$J$49)*'Retirement Planning'!$I$50),('Retirement Planning'!$J$50-'Retirement Planning'!$J$49)*'Retirement Planning'!$I$50)+MIN(MAX(0,((SUM(Z211:Z222)-'Retirement Planning'!$I$53-'Retirement Planning'!$I$54)-'Retirement Planning'!$J$48)*'Retirement Planning'!$I$49),('Retirement Planning'!$J$49-'Retirement Planning'!$J$48)*'Retirement Planning'!$I$49)+MIN(((SUM(Z211:Z222)-'Retirement Planning'!$I$53-'Retirement Planning'!$I$54))*'Retirement Planning'!$I$48,('Retirement Planning'!$J$48)*'Retirement Planning'!$I$48))+(IF((SUM(Z211:Z222)-'Retirement Planning'!$I$54-'Retirement Planning'!$I$61)&gt;'Retirement Planning'!$J$59,(SUM(Z211:Z222)-'Retirement Planning'!$I$54-'Retirement Planning'!$I$61-'Retirement Planning'!$J$59)*'Retirement Planning'!$I$60+'Retirement Planning'!$K$59,IF((SUM(Z211:Z222)-'Retirement Planning'!$I$54-'Retirement Planning'!$I$61)&gt;'Retirement Planning'!$J$58,(SUM(Z211:Z222)-'Retirement Planning'!$I$54-'Retirement Planning'!$I$61-'Retirement Planning'!$J$58)*'Retirement Planning'!$I$59+'Retirement Planning'!$K$58,IF((SUM(Z211:Z222)-'Retirement Planning'!$I$54-'Retirement Planning'!$I$61)&gt;'Retirement Planning'!$J$57,(SUM(Z211:Z222)-'Retirement Planning'!$I$54-'Retirement Planning'!$I$61-'Retirement Planning'!$J$57)*'Retirement Planning'!$I$58+'Retirement Planning'!$K$57,IF((SUM(Z211:Z222)-'Retirement Planning'!$I$54-'Retirement Planning'!$I$61)&gt;'Retirement Planning'!$J$56,(SUM(Z211:Z222)-'Retirement Planning'!$I$54-'Retirement Planning'!$I$61-'Retirement Planning'!$J$56)*'Retirement Planning'!$I$57+'Retirement Planning'!$K$56,(SUM(Z211:Z222)-'Retirement Planning'!$I$54-'Retirement Planning'!$I$61)*'Retirement Planning'!$I$56))))))/12,AA222)</f>
        <v>2204.8045849631194</v>
      </c>
      <c r="AB223" s="104">
        <f t="shared" ca="1" si="77"/>
        <v>0.229488912532501</v>
      </c>
      <c r="AC223" s="7">
        <f>IF(B223&lt;65,'Retirement Planning'!$J$28,0)</f>
        <v>0</v>
      </c>
      <c r="AD223" s="7">
        <f>IF(B223&lt;65,'Retirement Planning'!$J$29/12,0)</f>
        <v>0</v>
      </c>
      <c r="AE223" s="22">
        <f>'Retirement Planning'!$J$31/12</f>
        <v>58.333333333333336</v>
      </c>
      <c r="AF223" s="22">
        <f>'Retirement Planning'!$J$32/12</f>
        <v>66.666666666666671</v>
      </c>
      <c r="AG223" s="7">
        <f>IF($B223&gt;64.9,'Retirement Planning'!$J$39/12,0)</f>
        <v>183.33333333333334</v>
      </c>
      <c r="AH223" s="7">
        <f>IF($B223&gt;64.9,'Retirement Planning'!$J$40/12,0)</f>
        <v>258.33333333333331</v>
      </c>
      <c r="AI223" s="7">
        <f>IF($B223&gt;64.9,'Retirement Planning'!$J$41/12,0)</f>
        <v>558.33333333333337</v>
      </c>
      <c r="AJ223" s="7">
        <f t="shared" ca="1" si="89"/>
        <v>316.66666666666663</v>
      </c>
      <c r="AK223" s="3" t="str">
        <f t="shared" ca="1" si="90"/>
        <v>N/A</v>
      </c>
      <c r="AL223" s="6" t="str">
        <f t="shared" ca="1" si="91"/>
        <v>N/A</v>
      </c>
      <c r="AM223" s="7">
        <f t="shared" ca="1" si="92"/>
        <v>1.1368683772161603E-12</v>
      </c>
      <c r="AN223" s="7">
        <f t="shared" ca="1" si="93"/>
        <v>12646.913349655544</v>
      </c>
      <c r="AO223" s="7">
        <f t="shared" si="94"/>
        <v>1125</v>
      </c>
    </row>
    <row r="224" spans="1:41" x14ac:dyDescent="0.2">
      <c r="A224">
        <f t="shared" si="95"/>
        <v>50</v>
      </c>
      <c r="B224" s="5">
        <f t="shared" si="96"/>
        <v>74.099999999999994</v>
      </c>
      <c r="C224" s="56">
        <f t="shared" si="97"/>
        <v>52932</v>
      </c>
      <c r="D224" s="57">
        <f ca="1">IF(AND(B223&lt;59.5,OR(B224&gt;59.5,B224=59.5)),(D223-E223+J223-K223)*(1+'Retirement Planning'!$J$23/12),(D223-E223)*(1+'Retirement Planning'!$J$23/12))</f>
        <v>457571.28188933618</v>
      </c>
      <c r="E224" s="58">
        <f t="shared" ca="1" si="84"/>
        <v>1214.6383096746576</v>
      </c>
      <c r="F224" s="57">
        <f ca="1">IF(AND(OR(B224&gt;59.5,B224=59.5),B223&lt;59.5),(F223-G223+L223-M223+N223-O223)*(1+'Retirement Planning'!$J$23/12),(F223-G223)*(1+'Retirement Planning'!$J$23/12))</f>
        <v>1388234.7121929659</v>
      </c>
      <c r="G224" s="58">
        <f ca="1">IF(AND($B$10&lt;55,B224&lt;59.5),'Retirement Planning'!$J$25,IF(OR(B224&gt;59.5,B224=59.5),MAX(0,MIN(F224,IF(D224&lt;2500,((Y224+AJ224+AA224))-X224,((Y224+AJ224+AA224)*'Retirement Planning'!$J$44)-X224))),0))</f>
        <v>8375.6498132209908</v>
      </c>
      <c r="H224" s="255">
        <f ca="1">IF(MONTH(C224)=1,IF(B224&gt;69.5,F224/(INDEX('Retirement Planning'!D$1:D$264,(160+INT(B224))))/12,0),IF(F224=0,0,H223))</f>
        <v>7384.3386680573531</v>
      </c>
      <c r="I224" s="262">
        <f t="shared" ca="1" si="85"/>
        <v>0</v>
      </c>
      <c r="J224" s="254">
        <f ca="1">IF(AND(B223&lt;59.5,OR(B224=59.5,B224&gt;59.5)),0,(J223-K223)*(1+'Retirement Planning'!$J$23/12))</f>
        <v>0</v>
      </c>
      <c r="K224" s="58">
        <f t="shared" ca="1" si="86"/>
        <v>0</v>
      </c>
      <c r="L224" s="57">
        <f>IF(AND(OR(B224&gt;59.5,B224=59.5),B223&lt;59.5),0,(L223-M223)*(1+'Retirement Planning'!$J$23/12))</f>
        <v>0</v>
      </c>
      <c r="M224" s="59">
        <f>IF(AND($B$10&lt;55,B224&lt;59.5),0,IF(B224&lt;59.5,MAX(0,MIN((($Y224+$AJ224+AA224)*'Retirement Planning'!$J$44)-$G224-$X224,L224)),0))</f>
        <v>0</v>
      </c>
      <c r="N224" s="57">
        <f ca="1">(N223-O223)*(1+'Retirement Planning'!$J$23/12)</f>
        <v>0</v>
      </c>
      <c r="O224" s="59">
        <f ca="1">IF(B224&gt;59.5,MAX(0,MIN((AA224+$Y224+$AJ224)*(IF(D224&lt;(MIN(E212:E223)+1),1,'Retirement Planning'!$J$44))-M224-$G224-$X224-(IF(D224&lt;(MIN(E212:E223)+1),D224,0)),N224)),0)</f>
        <v>0</v>
      </c>
      <c r="P224" s="57">
        <f t="shared" si="98"/>
        <v>0</v>
      </c>
      <c r="Q224" s="58">
        <f t="shared" si="99"/>
        <v>0</v>
      </c>
      <c r="R224" s="57">
        <f ca="1">(R223-S223-T223)*(1+'Retirement Planning'!$J$23/12)</f>
        <v>513726.53183845448</v>
      </c>
      <c r="S224" s="58">
        <f t="shared" ca="1" si="100"/>
        <v>808.33333333333337</v>
      </c>
      <c r="T224" s="273">
        <f t="shared" ca="1" si="87"/>
        <v>1.3642420526593924E-12</v>
      </c>
      <c r="U224" s="57">
        <f ca="1">(U223-V223)*(1+'Retirement Planning'!$J$23/12)</f>
        <v>378521.254253413</v>
      </c>
      <c r="V224" s="24">
        <f ca="1">IF(AND($B$10&lt;55,B224&lt;59.5),MIN(U224,MAX(0,(Y224+AA224+AJ224-G224)*'Retirement Planning'!$J$45)),IF(B224&lt;59.5,(MIN(U224,MAX(0,((Y224+AA224+AJ224)-G224-M224)*'Retirement Planning'!$J$45))),MIN(U224,MAX(0,(Y224+AA224+AJ224-G224-M224-K224-X224)*'Retirement Planning'!$J$45))))</f>
        <v>1034.6918934265607</v>
      </c>
      <c r="W224" s="7">
        <f t="shared" ca="1" si="88"/>
        <v>2738053.7801741697</v>
      </c>
      <c r="X224" s="7">
        <f>(IF(B224&gt;'Retirement Planning'!$J$34,IF('Retirement Planning'!$J$34=70,'Retirement Planning'!$J$37/12,IF('Retirement Planning'!$J$34=67,'Retirement Planning'!$J$36/12,'Retirement Planning'!$J$35/12)),0))*'Retirement Planning'!$J$38</f>
        <v>1213.6000000000001</v>
      </c>
      <c r="Y224" s="7">
        <f ca="1">'Retirement Planning'!$F$35*((1+'Retirement Planning'!$J$24)^(YEAR('Projected Retirement Drawdown'!C224)-YEAR(TODAY())))</f>
        <v>9317.1087646924243</v>
      </c>
      <c r="Z224" s="7">
        <f ca="1">G224+M224+O224+0.85*X224+V224*'Retirement Planning'!$J$46+T224</f>
        <v>9976.2903546056004</v>
      </c>
      <c r="AA224" s="7">
        <f ca="1">IF(MONTH(C224)=1,(((MIN(MAX(0,((SUM(Z212:Z223)-'Retirement Planning'!$I$53-'Retirement Planning'!$I$54)-'Retirement Planning'!$J$51)*'Retirement Planning'!$I$52))))+(MIN(MAX(0,((SUM(Z212:Z223)-'Retirement Planning'!$I$53-'Retirement Planning'!$I$54)-'Retirement Planning'!$J$50)*'Retirement Planning'!$I$51),('Retirement Planning'!$J$51-'Retirement Planning'!$J$50)*'Retirement Planning'!$I$51))+(MIN(MAX(0,((SUM(Z212:Z223)-'Retirement Planning'!$I$53-'Retirement Planning'!$I$54)-'Retirement Planning'!$J$49)*'Retirement Planning'!$I$50),('Retirement Planning'!$J$50-'Retirement Planning'!$J$49)*'Retirement Planning'!$I$50)+MIN(MAX(0,((SUM(Z212:Z223)-'Retirement Planning'!$I$53-'Retirement Planning'!$I$54)-'Retirement Planning'!$J$48)*'Retirement Planning'!$I$49),('Retirement Planning'!$J$49-'Retirement Planning'!$J$48)*'Retirement Planning'!$I$49)+MIN(((SUM(Z212:Z223)-'Retirement Planning'!$I$53-'Retirement Planning'!$I$54))*'Retirement Planning'!$I$48,('Retirement Planning'!$J$48)*'Retirement Planning'!$I$48))+(IF((SUM(Z212:Z223)-'Retirement Planning'!$I$54-'Retirement Planning'!$I$61)&gt;'Retirement Planning'!$J$59,(SUM(Z212:Z223)-'Retirement Planning'!$I$54-'Retirement Planning'!$I$61-'Retirement Planning'!$J$59)*'Retirement Planning'!$I$60+'Retirement Planning'!$K$59,IF((SUM(Z212:Z223)-'Retirement Planning'!$I$54-'Retirement Planning'!$I$61)&gt;'Retirement Planning'!$J$58,(SUM(Z212:Z223)-'Retirement Planning'!$I$54-'Retirement Planning'!$I$61-'Retirement Planning'!$J$58)*'Retirement Planning'!$I$59+'Retirement Planning'!$K$58,IF((SUM(Z212:Z223)-'Retirement Planning'!$I$54-'Retirement Planning'!$I$61)&gt;'Retirement Planning'!$J$57,(SUM(Z212:Z223)-'Retirement Planning'!$I$54-'Retirement Planning'!$I$61-'Retirement Planning'!$J$57)*'Retirement Planning'!$I$58+'Retirement Planning'!$K$57,IF((SUM(Z212:Z223)-'Retirement Planning'!$I$54-'Retirement Planning'!$I$61)&gt;'Retirement Planning'!$J$56,(SUM(Z212:Z223)-'Retirement Planning'!$I$54-'Retirement Planning'!$I$61-'Retirement Planning'!$J$56)*'Retirement Planning'!$I$57+'Retirement Planning'!$K$56,(SUM(Z212:Z223)-'Retirement Planning'!$I$54-'Retirement Planning'!$I$61)*'Retirement Planning'!$I$56))))))/12,AA223)</f>
        <v>2204.8045849631194</v>
      </c>
      <c r="AB224" s="104">
        <f t="shared" ca="1" si="77"/>
        <v>0.229488912532501</v>
      </c>
      <c r="AC224" s="7">
        <f>IF(B224&lt;65,'Retirement Planning'!$J$28,0)</f>
        <v>0</v>
      </c>
      <c r="AD224" s="7">
        <f>IF(B224&lt;65,'Retirement Planning'!$J$29/12,0)</f>
        <v>0</v>
      </c>
      <c r="AE224" s="22">
        <f>'Retirement Planning'!$J$31/12</f>
        <v>58.333333333333336</v>
      </c>
      <c r="AF224" s="22">
        <f>'Retirement Planning'!$J$32/12</f>
        <v>66.666666666666671</v>
      </c>
      <c r="AG224" s="7">
        <f>IF($B224&gt;64.9,'Retirement Planning'!$J$39/12,0)</f>
        <v>183.33333333333334</v>
      </c>
      <c r="AH224" s="7">
        <f>IF($B224&gt;64.9,'Retirement Planning'!$J$40/12,0)</f>
        <v>258.33333333333331</v>
      </c>
      <c r="AI224" s="7">
        <f>IF($B224&gt;64.9,'Retirement Planning'!$J$41/12,0)</f>
        <v>558.33333333333337</v>
      </c>
      <c r="AJ224" s="7">
        <f t="shared" ca="1" si="89"/>
        <v>316.66666666666663</v>
      </c>
      <c r="AK224" s="3" t="str">
        <f t="shared" ca="1" si="90"/>
        <v>N/A</v>
      </c>
      <c r="AL224" s="6" t="str">
        <f t="shared" ca="1" si="91"/>
        <v>N/A</v>
      </c>
      <c r="AM224" s="7">
        <f t="shared" ca="1" si="92"/>
        <v>1.1368683772161603E-12</v>
      </c>
      <c r="AN224" s="7">
        <f t="shared" ca="1" si="93"/>
        <v>12646.913349655544</v>
      </c>
      <c r="AO224" s="7">
        <f t="shared" si="94"/>
        <v>1125</v>
      </c>
    </row>
    <row r="225" spans="1:41" x14ac:dyDescent="0.2">
      <c r="A225">
        <f t="shared" si="95"/>
        <v>50</v>
      </c>
      <c r="B225" s="5">
        <f t="shared" si="96"/>
        <v>74.2</v>
      </c>
      <c r="C225" s="56">
        <f t="shared" si="97"/>
        <v>52963</v>
      </c>
      <c r="D225" s="57">
        <f ca="1">IF(AND(B224&lt;59.5,OR(B225&gt;59.5,B225=59.5)),(D224-E224+J224-K224)*(1+'Retirement Planning'!$J$23/12),(D224-E224)*(1+'Retirement Planning'!$J$23/12))</f>
        <v>459589.16980501742</v>
      </c>
      <c r="E225" s="58">
        <f t="shared" ca="1" si="84"/>
        <v>1260.2964449907831</v>
      </c>
      <c r="F225" s="57">
        <f ca="1">IF(AND(OR(B225&gt;59.5,B225=59.5),B224&lt;59.5),(F224-G224+L224-M224+N224-O224)*(1+'Retirement Planning'!$J$23/12),(F224-G224)*(1+'Retirement Planning'!$J$23/12))</f>
        <v>1389633.0640716013</v>
      </c>
      <c r="G225" s="58">
        <f ca="1">IF(AND($B$10&lt;55,B225&lt;59.5),'Retirement Planning'!$J$25,IF(OR(B225&gt;59.5,B225=59.5),MAX(0,MIN(F225,IF(D225&lt;2500,((Y225+AJ225+AA225))-X225,((Y225+AJ225+AA225)*'Retirement Planning'!$J$44)-X225))),0))</f>
        <v>8736.1087762430197</v>
      </c>
      <c r="H225" s="255">
        <f ca="1">IF(MONTH(C225)=1,IF(B225&gt;69.5,F225/(INDEX('Retirement Planning'!D$1:D$264,(160+INT(B225))))/12,0),IF(F225=0,0,H224))</f>
        <v>7824.5104958986558</v>
      </c>
      <c r="I225" s="262">
        <f t="shared" ca="1" si="85"/>
        <v>0</v>
      </c>
      <c r="J225" s="254">
        <f ca="1">IF(AND(B224&lt;59.5,OR(B225=59.5,B225&gt;59.5)),0,(J224-K224)*(1+'Retirement Planning'!$J$23/12))</f>
        <v>0</v>
      </c>
      <c r="K225" s="58">
        <f t="shared" ca="1" si="86"/>
        <v>0</v>
      </c>
      <c r="L225" s="57">
        <f>IF(AND(OR(B225&gt;59.5,B225=59.5),B224&lt;59.5),0,(L224-M224)*(1+'Retirement Planning'!$J$23/12))</f>
        <v>0</v>
      </c>
      <c r="M225" s="59">
        <f>IF(AND($B$10&lt;55,B225&lt;59.5),0,IF(B225&lt;59.5,MAX(0,MIN((($Y225+$AJ225+AA225)*'Retirement Planning'!$J$44)-$G225-$X225,L225)),0))</f>
        <v>0</v>
      </c>
      <c r="N225" s="57">
        <f ca="1">(N224-O224)*(1+'Retirement Planning'!$J$23/12)</f>
        <v>0</v>
      </c>
      <c r="O225" s="59">
        <f ca="1">IF(B225&gt;59.5,MAX(0,MIN((AA225+$Y225+$AJ225)*(IF(D225&lt;(MIN(E213:E224)+1),1,'Retirement Planning'!$J$44))-M225-$G225-$X225-(IF(D225&lt;(MIN(E213:E224)+1),D225,0)),N225)),0)</f>
        <v>0</v>
      </c>
      <c r="P225" s="57">
        <f t="shared" si="98"/>
        <v>0</v>
      </c>
      <c r="Q225" s="58">
        <f t="shared" si="99"/>
        <v>0</v>
      </c>
      <c r="R225" s="57">
        <f ca="1">(R224-S224-T224)*(1+'Retirement Planning'!$J$23/12)</f>
        <v>516551.36907786579</v>
      </c>
      <c r="S225" s="58">
        <f t="shared" ca="1" si="100"/>
        <v>808.33333333333337</v>
      </c>
      <c r="T225" s="273">
        <f t="shared" ca="1" si="87"/>
        <v>-2.2737367544323206E-13</v>
      </c>
      <c r="U225" s="57">
        <f ca="1">(U224-V224)*(1+'Retirement Planning'!$J$23/12)</f>
        <v>380160.42551003629</v>
      </c>
      <c r="V225" s="24">
        <f ca="1">IF(AND($B$10&lt;55,B225&lt;59.5),MIN(U225,MAX(0,(Y225+AA225+AJ225-G225)*'Retirement Planning'!$J$45)),IF(B225&lt;59.5,(MIN(U225,MAX(0,((Y225+AA225+AJ225)-G225-M225)*'Retirement Planning'!$J$45))),MIN(U225,MAX(0,(Y225+AA225+AJ225-G225-M225-K225-X225)*'Retirement Planning'!$J$45))))</f>
        <v>1073.5858605477033</v>
      </c>
      <c r="W225" s="7">
        <f t="shared" ca="1" si="88"/>
        <v>2745934.0284645208</v>
      </c>
      <c r="X225" s="7">
        <f>(IF(B225&gt;'Retirement Planning'!$J$34,IF('Retirement Planning'!$J$34=70,'Retirement Planning'!$J$37/12,IF('Retirement Planning'!$J$34=67,'Retirement Planning'!$J$36/12,'Retirement Planning'!$J$35/12)),0))*'Retirement Planning'!$J$38</f>
        <v>1213.6000000000001</v>
      </c>
      <c r="Y225" s="7">
        <f ca="1">'Retirement Planning'!$F$35*((1+'Retirement Planning'!$J$24)^(YEAR('Projected Retirement Drawdown'!C225)-YEAR(TODAY())))</f>
        <v>9643.2075714566599</v>
      </c>
      <c r="Z225" s="7">
        <f ca="1">G225+M225+O225+0.85*X225+V225*'Retirement Planning'!$J$46+T225</f>
        <v>10358.140999544255</v>
      </c>
      <c r="AA225" s="7">
        <f ca="1">IF(MONTH(C225)=1,(((MIN(MAX(0,((SUM(Z213:Z224)-'Retirement Planning'!$I$53-'Retirement Planning'!$I$54)-'Retirement Planning'!$J$51)*'Retirement Planning'!$I$52))))+(MIN(MAX(0,((SUM(Z213:Z224)-'Retirement Planning'!$I$53-'Retirement Planning'!$I$54)-'Retirement Planning'!$J$50)*'Retirement Planning'!$I$51),('Retirement Planning'!$J$51-'Retirement Planning'!$J$50)*'Retirement Planning'!$I$51))+(MIN(MAX(0,((SUM(Z213:Z224)-'Retirement Planning'!$I$53-'Retirement Planning'!$I$54)-'Retirement Planning'!$J$49)*'Retirement Planning'!$I$50),('Retirement Planning'!$J$50-'Retirement Planning'!$J$49)*'Retirement Planning'!$I$50)+MIN(MAX(0,((SUM(Z213:Z224)-'Retirement Planning'!$I$53-'Retirement Planning'!$I$54)-'Retirement Planning'!$J$48)*'Retirement Planning'!$I$49),('Retirement Planning'!$J$49-'Retirement Planning'!$J$48)*'Retirement Planning'!$I$49)+MIN(((SUM(Z213:Z224)-'Retirement Planning'!$I$53-'Retirement Planning'!$I$54))*'Retirement Planning'!$I$48,('Retirement Planning'!$J$48)*'Retirement Planning'!$I$48))+(IF((SUM(Z213:Z224)-'Retirement Planning'!$I$54-'Retirement Planning'!$I$61)&gt;'Retirement Planning'!$J$59,(SUM(Z213:Z224)-'Retirement Planning'!$I$54-'Retirement Planning'!$I$61-'Retirement Planning'!$J$59)*'Retirement Planning'!$I$60+'Retirement Planning'!$K$59,IF((SUM(Z213:Z224)-'Retirement Planning'!$I$54-'Retirement Planning'!$I$61)&gt;'Retirement Planning'!$J$58,(SUM(Z213:Z224)-'Retirement Planning'!$I$54-'Retirement Planning'!$I$61-'Retirement Planning'!$J$58)*'Retirement Planning'!$I$59+'Retirement Planning'!$K$58,IF((SUM(Z213:Z224)-'Retirement Planning'!$I$54-'Retirement Planning'!$I$61)&gt;'Retirement Planning'!$J$57,(SUM(Z213:Z224)-'Retirement Planning'!$I$54-'Retirement Planning'!$I$61-'Retirement Planning'!$J$57)*'Retirement Planning'!$I$58+'Retirement Planning'!$K$57,IF((SUM(Z213:Z224)-'Retirement Planning'!$I$54-'Retirement Planning'!$I$61)&gt;'Retirement Planning'!$J$56,(SUM(Z213:Z224)-'Retirement Planning'!$I$54-'Retirement Planning'!$I$61-'Retirement Planning'!$J$56)*'Retirement Planning'!$I$57+'Retirement Planning'!$K$56,(SUM(Z213:Z224)-'Retirement Planning'!$I$54-'Retirement Planning'!$I$61)*'Retirement Planning'!$I$56))))))/12,AA224)</f>
        <v>2323.7168436581796</v>
      </c>
      <c r="AB225" s="104">
        <f t="shared" ref="AB225" ca="1" si="103">SUM(AA225:AA236)/SUM(Z213:Z224)</f>
        <v>0.23292393876501638</v>
      </c>
      <c r="AC225" s="7">
        <f>IF(B225&lt;65,'Retirement Planning'!$J$28,0)</f>
        <v>0</v>
      </c>
      <c r="AD225" s="7">
        <f>IF(B225&lt;65,'Retirement Planning'!$J$29/12,0)</f>
        <v>0</v>
      </c>
      <c r="AE225" s="22">
        <f>'Retirement Planning'!$J$31/12</f>
        <v>58.333333333333336</v>
      </c>
      <c r="AF225" s="22">
        <f>'Retirement Planning'!$J$32/12</f>
        <v>66.666666666666671</v>
      </c>
      <c r="AG225" s="7">
        <f>IF($B225&gt;64.9,'Retirement Planning'!$J$39/12,0)</f>
        <v>183.33333333333334</v>
      </c>
      <c r="AH225" s="7">
        <f>IF($B225&gt;64.9,'Retirement Planning'!$J$40/12,0)</f>
        <v>258.33333333333331</v>
      </c>
      <c r="AI225" s="7">
        <f>IF($B225&gt;64.9,'Retirement Planning'!$J$41/12,0)</f>
        <v>558.33333333333337</v>
      </c>
      <c r="AJ225" s="7">
        <f t="shared" ca="1" si="89"/>
        <v>316.66666666666663</v>
      </c>
      <c r="AK225" s="3" t="str">
        <f t="shared" ca="1" si="90"/>
        <v>N/A</v>
      </c>
      <c r="AL225" s="6" t="str">
        <f t="shared" ca="1" si="91"/>
        <v>N/A</v>
      </c>
      <c r="AM225" s="7">
        <f t="shared" ca="1" si="92"/>
        <v>1.1368683772161603E-12</v>
      </c>
      <c r="AN225" s="7">
        <f t="shared" ca="1" si="93"/>
        <v>13091.92441511484</v>
      </c>
      <c r="AO225" s="7">
        <f t="shared" si="94"/>
        <v>1125</v>
      </c>
    </row>
    <row r="226" spans="1:41" x14ac:dyDescent="0.2">
      <c r="A226">
        <f t="shared" si="95"/>
        <v>50</v>
      </c>
      <c r="B226" s="5">
        <f t="shared" si="96"/>
        <v>74.3</v>
      </c>
      <c r="C226" s="56">
        <f t="shared" si="97"/>
        <v>52994</v>
      </c>
      <c r="D226" s="57">
        <f ca="1">IF(AND(B225&lt;59.5,OR(B226&gt;59.5,B226=59.5)),(D225-E225+J225-K225)*(1+'Retirement Planning'!$J$23/12),(D225-E225)*(1+'Retirement Planning'!$J$23/12))</f>
        <v>461575.36954632681</v>
      </c>
      <c r="E226" s="58">
        <f t="shared" ca="1" si="84"/>
        <v>1260.2964449907831</v>
      </c>
      <c r="F226" s="57">
        <f ca="1">IF(AND(OR(B226&gt;59.5,B226=59.5),B225&lt;59.5),(F225-G225+L225-M225+N225-O225)*(1+'Retirement Planning'!$J$23/12),(F225-G225)*(1+'Retirement Planning'!$J$23/12))</f>
        <v>1390678.3087287005</v>
      </c>
      <c r="G226" s="58">
        <f ca="1">IF(AND($B$10&lt;55,B226&lt;59.5),'Retirement Planning'!$J$25,IF(OR(B226&gt;59.5,B226=59.5),MAX(0,MIN(F226,IF(D226&lt;2500,((Y226+AJ226+AA226))-X226,((Y226+AJ226+AA226)*'Retirement Planning'!$J$44)-X226))),0))</f>
        <v>8736.1087762430197</v>
      </c>
      <c r="H226" s="255">
        <f ca="1">IF(MONTH(C226)=1,IF(B226&gt;69.5,F226/(INDEX('Retirement Planning'!D$1:D$264,(160+INT(B226))))/12,0),IF(F226=0,0,H225))</f>
        <v>7824.5104958986558</v>
      </c>
      <c r="I226" s="262">
        <f t="shared" ca="1" si="85"/>
        <v>0</v>
      </c>
      <c r="J226" s="254">
        <f ca="1">IF(AND(B225&lt;59.5,OR(B226=59.5,B226&gt;59.5)),0,(J225-K225)*(1+'Retirement Planning'!$J$23/12))</f>
        <v>0</v>
      </c>
      <c r="K226" s="58">
        <f t="shared" ca="1" si="86"/>
        <v>0</v>
      </c>
      <c r="L226" s="57">
        <f>IF(AND(OR(B226&gt;59.5,B226=59.5),B225&lt;59.5),0,(L225-M225)*(1+'Retirement Planning'!$J$23/12))</f>
        <v>0</v>
      </c>
      <c r="M226" s="59">
        <f>IF(AND($B$10&lt;55,B226&lt;59.5),0,IF(B226&lt;59.5,MAX(0,MIN((($Y226+$AJ226+AA226)*'Retirement Planning'!$J$44)-$G226-$X226,L226)),0))</f>
        <v>0</v>
      </c>
      <c r="N226" s="57">
        <f ca="1">(N225-O225)*(1+'Retirement Planning'!$J$23/12)</f>
        <v>0</v>
      </c>
      <c r="O226" s="59">
        <f ca="1">IF(B226&gt;59.5,MAX(0,MIN((AA226+$Y226+$AJ226)*(IF(D226&lt;(MIN(E214:E225)+1),1,'Retirement Planning'!$J$44))-M226-$G226-$X226-(IF(D226&lt;(MIN(E214:E225)+1),D226,0)),N226)),0)</f>
        <v>0</v>
      </c>
      <c r="P226" s="57">
        <f t="shared" si="98"/>
        <v>0</v>
      </c>
      <c r="Q226" s="58">
        <f t="shared" si="99"/>
        <v>0</v>
      </c>
      <c r="R226" s="57">
        <f ca="1">(R225-S225-T225)*(1+'Retirement Planning'!$J$23/12)</f>
        <v>519396.21558105625</v>
      </c>
      <c r="S226" s="58">
        <f t="shared" ca="1" si="100"/>
        <v>808.33333333333337</v>
      </c>
      <c r="T226" s="273">
        <f t="shared" ca="1" si="87"/>
        <v>-2.2737367544323206E-13</v>
      </c>
      <c r="U226" s="57">
        <f ca="1">(U225-V225)*(1+'Retirement Planning'!$J$23/12)</f>
        <v>381772.0380970058</v>
      </c>
      <c r="V226" s="24">
        <f ca="1">IF(AND($B$10&lt;55,B226&lt;59.5),MIN(U226,MAX(0,(Y226+AA226+AJ226-G226)*'Retirement Planning'!$J$45)),IF(B226&lt;59.5,(MIN(U226,MAX(0,((Y226+AA226+AJ226)-G226-M226)*'Retirement Planning'!$J$45))),MIN(U226,MAX(0,(Y226+AA226+AJ226-G226-M226-K226-X226)*'Retirement Planning'!$J$45))))</f>
        <v>1073.5858605477033</v>
      </c>
      <c r="W226" s="7">
        <f t="shared" ca="1" si="88"/>
        <v>2753421.9319530893</v>
      </c>
      <c r="X226" s="7">
        <f>(IF(B226&gt;'Retirement Planning'!$J$34,IF('Retirement Planning'!$J$34=70,'Retirement Planning'!$J$37/12,IF('Retirement Planning'!$J$34=67,'Retirement Planning'!$J$36/12,'Retirement Planning'!$J$35/12)),0))*'Retirement Planning'!$J$38</f>
        <v>1213.6000000000001</v>
      </c>
      <c r="Y226" s="7">
        <f ca="1">'Retirement Planning'!$F$35*((1+'Retirement Planning'!$J$24)^(YEAR('Projected Retirement Drawdown'!C226)-YEAR(TODAY())))</f>
        <v>9643.2075714566599</v>
      </c>
      <c r="Z226" s="7">
        <f ca="1">G226+M226+O226+0.85*X226+V226*'Retirement Planning'!$J$46+T226</f>
        <v>10358.140999544255</v>
      </c>
      <c r="AA226" s="7">
        <f ca="1">IF(MONTH(C226)=1,(((MIN(MAX(0,((SUM(Z214:Z225)-'Retirement Planning'!$I$53-'Retirement Planning'!$I$54)-'Retirement Planning'!$J$51)*'Retirement Planning'!$I$52))))+(MIN(MAX(0,((SUM(Z214:Z225)-'Retirement Planning'!$I$53-'Retirement Planning'!$I$54)-'Retirement Planning'!$J$50)*'Retirement Planning'!$I$51),('Retirement Planning'!$J$51-'Retirement Planning'!$J$50)*'Retirement Planning'!$I$51))+(MIN(MAX(0,((SUM(Z214:Z225)-'Retirement Planning'!$I$53-'Retirement Planning'!$I$54)-'Retirement Planning'!$J$49)*'Retirement Planning'!$I$50),('Retirement Planning'!$J$50-'Retirement Planning'!$J$49)*'Retirement Planning'!$I$50)+MIN(MAX(0,((SUM(Z214:Z225)-'Retirement Planning'!$I$53-'Retirement Planning'!$I$54)-'Retirement Planning'!$J$48)*'Retirement Planning'!$I$49),('Retirement Planning'!$J$49-'Retirement Planning'!$J$48)*'Retirement Planning'!$I$49)+MIN(((SUM(Z214:Z225)-'Retirement Planning'!$I$53-'Retirement Planning'!$I$54))*'Retirement Planning'!$I$48,('Retirement Planning'!$J$48)*'Retirement Planning'!$I$48))+(IF((SUM(Z214:Z225)-'Retirement Planning'!$I$54-'Retirement Planning'!$I$61)&gt;'Retirement Planning'!$J$59,(SUM(Z214:Z225)-'Retirement Planning'!$I$54-'Retirement Planning'!$I$61-'Retirement Planning'!$J$59)*'Retirement Planning'!$I$60+'Retirement Planning'!$K$59,IF((SUM(Z214:Z225)-'Retirement Planning'!$I$54-'Retirement Planning'!$I$61)&gt;'Retirement Planning'!$J$58,(SUM(Z214:Z225)-'Retirement Planning'!$I$54-'Retirement Planning'!$I$61-'Retirement Planning'!$J$58)*'Retirement Planning'!$I$59+'Retirement Planning'!$K$58,IF((SUM(Z214:Z225)-'Retirement Planning'!$I$54-'Retirement Planning'!$I$61)&gt;'Retirement Planning'!$J$57,(SUM(Z214:Z225)-'Retirement Planning'!$I$54-'Retirement Planning'!$I$61-'Retirement Planning'!$J$57)*'Retirement Planning'!$I$58+'Retirement Planning'!$K$57,IF((SUM(Z214:Z225)-'Retirement Planning'!$I$54-'Retirement Planning'!$I$61)&gt;'Retirement Planning'!$J$56,(SUM(Z214:Z225)-'Retirement Planning'!$I$54-'Retirement Planning'!$I$61-'Retirement Planning'!$J$56)*'Retirement Planning'!$I$57+'Retirement Planning'!$K$56,(SUM(Z214:Z225)-'Retirement Planning'!$I$54-'Retirement Planning'!$I$61)*'Retirement Planning'!$I$56))))))/12,AA225)</f>
        <v>2323.7168436581796</v>
      </c>
      <c r="AB226" s="104">
        <f t="shared" ref="AB226:AB289" ca="1" si="104">AB225</f>
        <v>0.23292393876501638</v>
      </c>
      <c r="AC226" s="7">
        <f>IF(B226&lt;65,'Retirement Planning'!$J$28,0)</f>
        <v>0</v>
      </c>
      <c r="AD226" s="7">
        <f>IF(B226&lt;65,'Retirement Planning'!$J$29/12,0)</f>
        <v>0</v>
      </c>
      <c r="AE226" s="22">
        <f>'Retirement Planning'!$J$31/12</f>
        <v>58.333333333333336</v>
      </c>
      <c r="AF226" s="22">
        <f>'Retirement Planning'!$J$32/12</f>
        <v>66.666666666666671</v>
      </c>
      <c r="AG226" s="7">
        <f>IF($B226&gt;64.9,'Retirement Planning'!$J$39/12,0)</f>
        <v>183.33333333333334</v>
      </c>
      <c r="AH226" s="7">
        <f>IF($B226&gt;64.9,'Retirement Planning'!$J$40/12,0)</f>
        <v>258.33333333333331</v>
      </c>
      <c r="AI226" s="7">
        <f>IF($B226&gt;64.9,'Retirement Planning'!$J$41/12,0)</f>
        <v>558.33333333333337</v>
      </c>
      <c r="AJ226" s="7">
        <f t="shared" ca="1" si="89"/>
        <v>316.66666666666663</v>
      </c>
      <c r="AK226" s="3" t="str">
        <f t="shared" ca="1" si="90"/>
        <v>N/A</v>
      </c>
      <c r="AL226" s="6" t="str">
        <f t="shared" ca="1" si="91"/>
        <v>N/A</v>
      </c>
      <c r="AM226" s="7">
        <f t="shared" ca="1" si="92"/>
        <v>1.1368683772161603E-12</v>
      </c>
      <c r="AN226" s="7">
        <f t="shared" ca="1" si="93"/>
        <v>13091.92441511484</v>
      </c>
      <c r="AO226" s="7">
        <f t="shared" si="94"/>
        <v>1125</v>
      </c>
    </row>
    <row r="227" spans="1:41" x14ac:dyDescent="0.2">
      <c r="A227">
        <f t="shared" si="95"/>
        <v>50</v>
      </c>
      <c r="B227" s="5">
        <f t="shared" si="96"/>
        <v>74.400000000000006</v>
      </c>
      <c r="C227" s="56">
        <f t="shared" si="97"/>
        <v>53022</v>
      </c>
      <c r="D227" s="57">
        <f ca="1">IF(AND(B226&lt;59.5,OR(B227&gt;59.5,B227=59.5)),(D226-E226+J226-K226)*(1+'Retirement Planning'!$J$23/12),(D226-E226)*(1+'Retirement Planning'!$J$23/12))</f>
        <v>463575.63820247049</v>
      </c>
      <c r="E227" s="58">
        <f t="shared" ca="1" si="84"/>
        <v>1260.2964449907831</v>
      </c>
      <c r="F227" s="57">
        <f ca="1">IF(AND(OR(B227&gt;59.5,B227=59.5),B226&lt;59.5),(F226-G226+L226-M226+N226-O226)*(1+'Retirement Planning'!$J$23/12),(F226-G226)*(1+'Retirement Planning'!$J$23/12))</f>
        <v>1391730.9572021209</v>
      </c>
      <c r="G227" s="58">
        <f ca="1">IF(AND($B$10&lt;55,B227&lt;59.5),'Retirement Planning'!$J$25,IF(OR(B227&gt;59.5,B227=59.5),MAX(0,MIN(F227,IF(D227&lt;2500,((Y227+AJ227+AA227))-X227,((Y227+AJ227+AA227)*'Retirement Planning'!$J$44)-X227))),0))</f>
        <v>8736.1087762430197</v>
      </c>
      <c r="H227" s="255">
        <f ca="1">IF(MONTH(C227)=1,IF(B227&gt;69.5,F227/(INDEX('Retirement Planning'!D$1:D$264,(160+INT(B227))))/12,0),IF(F227=0,0,H226))</f>
        <v>7824.5104958986558</v>
      </c>
      <c r="I227" s="262">
        <f t="shared" ca="1" si="85"/>
        <v>0</v>
      </c>
      <c r="J227" s="254">
        <f ca="1">IF(AND(B226&lt;59.5,OR(B227=59.5,B227&gt;59.5)),0,(J226-K226)*(1+'Retirement Planning'!$J$23/12))</f>
        <v>0</v>
      </c>
      <c r="K227" s="58">
        <f t="shared" ca="1" si="86"/>
        <v>0</v>
      </c>
      <c r="L227" s="57">
        <f>IF(AND(OR(B227&gt;59.5,B227=59.5),B226&lt;59.5),0,(L226-M226)*(1+'Retirement Planning'!$J$23/12))</f>
        <v>0</v>
      </c>
      <c r="M227" s="59">
        <f>IF(AND($B$10&lt;55,B227&lt;59.5),0,IF(B227&lt;59.5,MAX(0,MIN((($Y227+$AJ227+AA227)*'Retirement Planning'!$J$44)-$G227-$X227,L227)),0))</f>
        <v>0</v>
      </c>
      <c r="N227" s="57">
        <f ca="1">(N226-O226)*(1+'Retirement Planning'!$J$23/12)</f>
        <v>0</v>
      </c>
      <c r="O227" s="59">
        <f ca="1">IF(B227&gt;59.5,MAX(0,MIN((AA227+$Y227+$AJ227)*(IF(D227&lt;(MIN(E215:E226)+1),1,'Retirement Planning'!$J$44))-M227-$G227-$X227-(IF(D227&lt;(MIN(E215:E226)+1),D227,0)),N227)),0)</f>
        <v>0</v>
      </c>
      <c r="P227" s="57">
        <f t="shared" si="98"/>
        <v>0</v>
      </c>
      <c r="Q227" s="58">
        <f t="shared" si="99"/>
        <v>0</v>
      </c>
      <c r="R227" s="57">
        <f ca="1">(R226-S226-T226)*(1+'Retirement Planning'!$J$23/12)</f>
        <v>522261.21308031096</v>
      </c>
      <c r="S227" s="58">
        <f t="shared" ca="1" si="100"/>
        <v>808.33333333333337</v>
      </c>
      <c r="T227" s="273">
        <f t="shared" ca="1" si="87"/>
        <v>-2.2737367544323206E-13</v>
      </c>
      <c r="U227" s="57">
        <f ca="1">(U226-V226)*(1+'Retirement Planning'!$J$23/12)</f>
        <v>383395.06627313298</v>
      </c>
      <c r="V227" s="24">
        <f ca="1">IF(AND($B$10&lt;55,B227&lt;59.5),MIN(U227,MAX(0,(Y227+AA227+AJ227-G227)*'Retirement Planning'!$J$45)),IF(B227&lt;59.5,(MIN(U227,MAX(0,((Y227+AA227+AJ227)-G227-M227)*'Retirement Planning'!$J$45))),MIN(U227,MAX(0,(Y227+AA227+AJ227-G227-M227-K227-X227)*'Retirement Planning'!$J$45))))</f>
        <v>1073.5858605477033</v>
      </c>
      <c r="W227" s="7">
        <f t="shared" ca="1" si="88"/>
        <v>2760962.8747580354</v>
      </c>
      <c r="X227" s="7">
        <f>(IF(B227&gt;'Retirement Planning'!$J$34,IF('Retirement Planning'!$J$34=70,'Retirement Planning'!$J$37/12,IF('Retirement Planning'!$J$34=67,'Retirement Planning'!$J$36/12,'Retirement Planning'!$J$35/12)),0))*'Retirement Planning'!$J$38</f>
        <v>1213.6000000000001</v>
      </c>
      <c r="Y227" s="7">
        <f ca="1">'Retirement Planning'!$F$35*((1+'Retirement Planning'!$J$24)^(YEAR('Projected Retirement Drawdown'!C227)-YEAR(TODAY())))</f>
        <v>9643.2075714566599</v>
      </c>
      <c r="Z227" s="7">
        <f ca="1">G227+M227+O227+0.85*X227+V227*'Retirement Planning'!$J$46+T227</f>
        <v>10358.140999544255</v>
      </c>
      <c r="AA227" s="7">
        <f ca="1">IF(MONTH(C227)=1,(((MIN(MAX(0,((SUM(Z215:Z226)-'Retirement Planning'!$I$53-'Retirement Planning'!$I$54)-'Retirement Planning'!$J$51)*'Retirement Planning'!$I$52))))+(MIN(MAX(0,((SUM(Z215:Z226)-'Retirement Planning'!$I$53-'Retirement Planning'!$I$54)-'Retirement Planning'!$J$50)*'Retirement Planning'!$I$51),('Retirement Planning'!$J$51-'Retirement Planning'!$J$50)*'Retirement Planning'!$I$51))+(MIN(MAX(0,((SUM(Z215:Z226)-'Retirement Planning'!$I$53-'Retirement Planning'!$I$54)-'Retirement Planning'!$J$49)*'Retirement Planning'!$I$50),('Retirement Planning'!$J$50-'Retirement Planning'!$J$49)*'Retirement Planning'!$I$50)+MIN(MAX(0,((SUM(Z215:Z226)-'Retirement Planning'!$I$53-'Retirement Planning'!$I$54)-'Retirement Planning'!$J$48)*'Retirement Planning'!$I$49),('Retirement Planning'!$J$49-'Retirement Planning'!$J$48)*'Retirement Planning'!$I$49)+MIN(((SUM(Z215:Z226)-'Retirement Planning'!$I$53-'Retirement Planning'!$I$54))*'Retirement Planning'!$I$48,('Retirement Planning'!$J$48)*'Retirement Planning'!$I$48))+(IF((SUM(Z215:Z226)-'Retirement Planning'!$I$54-'Retirement Planning'!$I$61)&gt;'Retirement Planning'!$J$59,(SUM(Z215:Z226)-'Retirement Planning'!$I$54-'Retirement Planning'!$I$61-'Retirement Planning'!$J$59)*'Retirement Planning'!$I$60+'Retirement Planning'!$K$59,IF((SUM(Z215:Z226)-'Retirement Planning'!$I$54-'Retirement Planning'!$I$61)&gt;'Retirement Planning'!$J$58,(SUM(Z215:Z226)-'Retirement Planning'!$I$54-'Retirement Planning'!$I$61-'Retirement Planning'!$J$58)*'Retirement Planning'!$I$59+'Retirement Planning'!$K$58,IF((SUM(Z215:Z226)-'Retirement Planning'!$I$54-'Retirement Planning'!$I$61)&gt;'Retirement Planning'!$J$57,(SUM(Z215:Z226)-'Retirement Planning'!$I$54-'Retirement Planning'!$I$61-'Retirement Planning'!$J$57)*'Retirement Planning'!$I$58+'Retirement Planning'!$K$57,IF((SUM(Z215:Z226)-'Retirement Planning'!$I$54-'Retirement Planning'!$I$61)&gt;'Retirement Planning'!$J$56,(SUM(Z215:Z226)-'Retirement Planning'!$I$54-'Retirement Planning'!$I$61-'Retirement Planning'!$J$56)*'Retirement Planning'!$I$57+'Retirement Planning'!$K$56,(SUM(Z215:Z226)-'Retirement Planning'!$I$54-'Retirement Planning'!$I$61)*'Retirement Planning'!$I$56))))))/12,AA226)</f>
        <v>2323.7168436581796</v>
      </c>
      <c r="AB227" s="104">
        <f t="shared" ca="1" si="77"/>
        <v>0.23292393876501638</v>
      </c>
      <c r="AC227" s="7">
        <f>IF(B227&lt;65,'Retirement Planning'!$J$28,0)</f>
        <v>0</v>
      </c>
      <c r="AD227" s="7">
        <f>IF(B227&lt;65,'Retirement Planning'!$J$29/12,0)</f>
        <v>0</v>
      </c>
      <c r="AE227" s="22">
        <f>'Retirement Planning'!$J$31/12</f>
        <v>58.333333333333336</v>
      </c>
      <c r="AF227" s="22">
        <f>'Retirement Planning'!$J$32/12</f>
        <v>66.666666666666671</v>
      </c>
      <c r="AG227" s="7">
        <f>IF($B227&gt;64.9,'Retirement Planning'!$J$39/12,0)</f>
        <v>183.33333333333334</v>
      </c>
      <c r="AH227" s="7">
        <f>IF($B227&gt;64.9,'Retirement Planning'!$J$40/12,0)</f>
        <v>258.33333333333331</v>
      </c>
      <c r="AI227" s="7">
        <f>IF($B227&gt;64.9,'Retirement Planning'!$J$41/12,0)</f>
        <v>558.33333333333337</v>
      </c>
      <c r="AJ227" s="7">
        <f t="shared" ca="1" si="89"/>
        <v>316.66666666666663</v>
      </c>
      <c r="AK227" s="3" t="str">
        <f t="shared" ca="1" si="90"/>
        <v>N/A</v>
      </c>
      <c r="AL227" s="6" t="str">
        <f t="shared" ca="1" si="91"/>
        <v>N/A</v>
      </c>
      <c r="AM227" s="7">
        <f t="shared" ca="1" si="92"/>
        <v>1.1368683772161603E-12</v>
      </c>
      <c r="AN227" s="7">
        <f t="shared" ca="1" si="93"/>
        <v>13091.92441511484</v>
      </c>
      <c r="AO227" s="7">
        <f t="shared" si="94"/>
        <v>1125</v>
      </c>
    </row>
    <row r="228" spans="1:41" x14ac:dyDescent="0.2">
      <c r="A228">
        <f t="shared" si="95"/>
        <v>50</v>
      </c>
      <c r="B228" s="5">
        <f t="shared" si="96"/>
        <v>74.5</v>
      </c>
      <c r="C228" s="56">
        <f t="shared" si="97"/>
        <v>53053</v>
      </c>
      <c r="D228" s="57">
        <f ca="1">IF(AND(B227&lt;59.5,OR(B228&gt;59.5,B228=59.5)),(D227-E227+J227-K227)*(1+'Retirement Planning'!$J$23/12),(D227-E227)*(1+'Retirement Planning'!$J$23/12))</f>
        <v>465590.07542826183</v>
      </c>
      <c r="E228" s="58">
        <f t="shared" ca="1" si="84"/>
        <v>1260.2964449907831</v>
      </c>
      <c r="F228" s="57">
        <f ca="1">IF(AND(OR(B228&gt;59.5,B228=59.5),B227&lt;59.5),(F227-G227+L227-M227+N227-O227)*(1+'Retirement Planning'!$J$23/12),(F227-G227)*(1+'Retirement Planning'!$J$23/12))</f>
        <v>1392791.0619355612</v>
      </c>
      <c r="G228" s="58">
        <f ca="1">IF(AND($B$10&lt;55,B228&lt;59.5),'Retirement Planning'!$J$25,IF(OR(B228&gt;59.5,B228=59.5),MAX(0,MIN(F228,IF(D228&lt;2500,((Y228+AJ228+AA228))-X228,((Y228+AJ228+AA228)*'Retirement Planning'!$J$44)-X228))),0))</f>
        <v>8736.1087762430197</v>
      </c>
      <c r="H228" s="255">
        <f ca="1">IF(MONTH(C228)=1,IF(B228&gt;69.5,F228/(INDEX('Retirement Planning'!D$1:D$264,(160+INT(B228))))/12,0),IF(F228=0,0,H227))</f>
        <v>7824.5104958986558</v>
      </c>
      <c r="I228" s="262">
        <f t="shared" ca="1" si="85"/>
        <v>0</v>
      </c>
      <c r="J228" s="254">
        <f ca="1">IF(AND(B227&lt;59.5,OR(B228=59.5,B228&gt;59.5)),0,(J227-K227)*(1+'Retirement Planning'!$J$23/12))</f>
        <v>0</v>
      </c>
      <c r="K228" s="58">
        <f t="shared" ca="1" si="86"/>
        <v>0</v>
      </c>
      <c r="L228" s="57">
        <f>IF(AND(OR(B228&gt;59.5,B228=59.5),B227&lt;59.5),0,(L227-M227)*(1+'Retirement Planning'!$J$23/12))</f>
        <v>0</v>
      </c>
      <c r="M228" s="59">
        <f>IF(AND($B$10&lt;55,B228&lt;59.5),0,IF(B228&lt;59.5,MAX(0,MIN((($Y228+$AJ228+AA228)*'Retirement Planning'!$J$44)-$G228-$X228,L228)),0))</f>
        <v>0</v>
      </c>
      <c r="N228" s="57">
        <f ca="1">(N227-O227)*(1+'Retirement Planning'!$J$23/12)</f>
        <v>0</v>
      </c>
      <c r="O228" s="59">
        <f ca="1">IF(B228&gt;59.5,MAX(0,MIN((AA228+$Y228+$AJ228)*(IF(D228&lt;(MIN(E216:E227)+1),1,'Retirement Planning'!$J$44))-M228-$G228-$X228-(IF(D228&lt;(MIN(E216:E227)+1),D228,0)),N228)),0)</f>
        <v>0</v>
      </c>
      <c r="P228" s="57">
        <f t="shared" si="98"/>
        <v>0</v>
      </c>
      <c r="Q228" s="58">
        <f t="shared" si="99"/>
        <v>0</v>
      </c>
      <c r="R228" s="57">
        <f ca="1">(R227-S227-T227)*(1+'Retirement Planning'!$J$23/12)</f>
        <v>525146.50431185204</v>
      </c>
      <c r="S228" s="58">
        <f t="shared" ca="1" si="100"/>
        <v>808.33333333333337</v>
      </c>
      <c r="T228" s="273">
        <f t="shared" ca="1" si="87"/>
        <v>-2.2737367544323206E-13</v>
      </c>
      <c r="U228" s="57">
        <f ca="1">(U227-V227)*(1+'Retirement Planning'!$J$23/12)</f>
        <v>385029.59089884104</v>
      </c>
      <c r="V228" s="24">
        <f ca="1">IF(AND($B$10&lt;55,B228&lt;59.5),MIN(U228,MAX(0,(Y228+AA228+AJ228-G228)*'Retirement Planning'!$J$45)),IF(B228&lt;59.5,(MIN(U228,MAX(0,((Y228+AA228+AJ228)-G228-M228)*'Retirement Planning'!$J$45))),MIN(U228,MAX(0,(Y228+AA228+AJ228-G228-M228-K228-X228)*'Retirement Planning'!$J$45))))</f>
        <v>1073.5858605477033</v>
      </c>
      <c r="W228" s="7">
        <f t="shared" ca="1" si="88"/>
        <v>2768557.2325745164</v>
      </c>
      <c r="X228" s="7">
        <f>(IF(B228&gt;'Retirement Planning'!$J$34,IF('Retirement Planning'!$J$34=70,'Retirement Planning'!$J$37/12,IF('Retirement Planning'!$J$34=67,'Retirement Planning'!$J$36/12,'Retirement Planning'!$J$35/12)),0))*'Retirement Planning'!$J$38</f>
        <v>1213.6000000000001</v>
      </c>
      <c r="Y228" s="7">
        <f ca="1">'Retirement Planning'!$F$35*((1+'Retirement Planning'!$J$24)^(YEAR('Projected Retirement Drawdown'!C228)-YEAR(TODAY())))</f>
        <v>9643.2075714566599</v>
      </c>
      <c r="Z228" s="7">
        <f ca="1">G228+M228+O228+0.85*X228+V228*'Retirement Planning'!$J$46+T228</f>
        <v>10358.140999544255</v>
      </c>
      <c r="AA228" s="7">
        <f ca="1">IF(MONTH(C228)=1,(((MIN(MAX(0,((SUM(Z216:Z227)-'Retirement Planning'!$I$53-'Retirement Planning'!$I$54)-'Retirement Planning'!$J$51)*'Retirement Planning'!$I$52))))+(MIN(MAX(0,((SUM(Z216:Z227)-'Retirement Planning'!$I$53-'Retirement Planning'!$I$54)-'Retirement Planning'!$J$50)*'Retirement Planning'!$I$51),('Retirement Planning'!$J$51-'Retirement Planning'!$J$50)*'Retirement Planning'!$I$51))+(MIN(MAX(0,((SUM(Z216:Z227)-'Retirement Planning'!$I$53-'Retirement Planning'!$I$54)-'Retirement Planning'!$J$49)*'Retirement Planning'!$I$50),('Retirement Planning'!$J$50-'Retirement Planning'!$J$49)*'Retirement Planning'!$I$50)+MIN(MAX(0,((SUM(Z216:Z227)-'Retirement Planning'!$I$53-'Retirement Planning'!$I$54)-'Retirement Planning'!$J$48)*'Retirement Planning'!$I$49),('Retirement Planning'!$J$49-'Retirement Planning'!$J$48)*'Retirement Planning'!$I$49)+MIN(((SUM(Z216:Z227)-'Retirement Planning'!$I$53-'Retirement Planning'!$I$54))*'Retirement Planning'!$I$48,('Retirement Planning'!$J$48)*'Retirement Planning'!$I$48))+(IF((SUM(Z216:Z227)-'Retirement Planning'!$I$54-'Retirement Planning'!$I$61)&gt;'Retirement Planning'!$J$59,(SUM(Z216:Z227)-'Retirement Planning'!$I$54-'Retirement Planning'!$I$61-'Retirement Planning'!$J$59)*'Retirement Planning'!$I$60+'Retirement Planning'!$K$59,IF((SUM(Z216:Z227)-'Retirement Planning'!$I$54-'Retirement Planning'!$I$61)&gt;'Retirement Planning'!$J$58,(SUM(Z216:Z227)-'Retirement Planning'!$I$54-'Retirement Planning'!$I$61-'Retirement Planning'!$J$58)*'Retirement Planning'!$I$59+'Retirement Planning'!$K$58,IF((SUM(Z216:Z227)-'Retirement Planning'!$I$54-'Retirement Planning'!$I$61)&gt;'Retirement Planning'!$J$57,(SUM(Z216:Z227)-'Retirement Planning'!$I$54-'Retirement Planning'!$I$61-'Retirement Planning'!$J$57)*'Retirement Planning'!$I$58+'Retirement Planning'!$K$57,IF((SUM(Z216:Z227)-'Retirement Planning'!$I$54-'Retirement Planning'!$I$61)&gt;'Retirement Planning'!$J$56,(SUM(Z216:Z227)-'Retirement Planning'!$I$54-'Retirement Planning'!$I$61-'Retirement Planning'!$J$56)*'Retirement Planning'!$I$57+'Retirement Planning'!$K$56,(SUM(Z216:Z227)-'Retirement Planning'!$I$54-'Retirement Planning'!$I$61)*'Retirement Planning'!$I$56))))))/12,AA227)</f>
        <v>2323.7168436581796</v>
      </c>
      <c r="AB228" s="104">
        <f t="shared" ca="1" si="77"/>
        <v>0.23292393876501638</v>
      </c>
      <c r="AC228" s="7">
        <f>IF(B228&lt;65,'Retirement Planning'!$J$28,0)</f>
        <v>0</v>
      </c>
      <c r="AD228" s="7">
        <f>IF(B228&lt;65,'Retirement Planning'!$J$29/12,0)</f>
        <v>0</v>
      </c>
      <c r="AE228" s="22">
        <f>'Retirement Planning'!$J$31/12</f>
        <v>58.333333333333336</v>
      </c>
      <c r="AF228" s="22">
        <f>'Retirement Planning'!$J$32/12</f>
        <v>66.666666666666671</v>
      </c>
      <c r="AG228" s="7">
        <f>IF($B228&gt;64.9,'Retirement Planning'!$J$39/12,0)</f>
        <v>183.33333333333334</v>
      </c>
      <c r="AH228" s="7">
        <f>IF($B228&gt;64.9,'Retirement Planning'!$J$40/12,0)</f>
        <v>258.33333333333331</v>
      </c>
      <c r="AI228" s="7">
        <f>IF($B228&gt;64.9,'Retirement Planning'!$J$41/12,0)</f>
        <v>558.33333333333337</v>
      </c>
      <c r="AJ228" s="7">
        <f t="shared" ca="1" si="89"/>
        <v>316.66666666666663</v>
      </c>
      <c r="AK228" s="3" t="str">
        <f t="shared" ca="1" si="90"/>
        <v>N/A</v>
      </c>
      <c r="AL228" s="6" t="str">
        <f t="shared" ca="1" si="91"/>
        <v>N/A</v>
      </c>
      <c r="AM228" s="7">
        <f t="shared" ca="1" si="92"/>
        <v>1.1368683772161603E-12</v>
      </c>
      <c r="AN228" s="7">
        <f t="shared" ca="1" si="93"/>
        <v>13091.92441511484</v>
      </c>
      <c r="AO228" s="7">
        <f t="shared" si="94"/>
        <v>1125</v>
      </c>
    </row>
    <row r="229" spans="1:41" x14ac:dyDescent="0.2">
      <c r="A229">
        <f t="shared" si="95"/>
        <v>50</v>
      </c>
      <c r="B229" s="5">
        <f t="shared" si="96"/>
        <v>74.5</v>
      </c>
      <c r="C229" s="56">
        <f t="shared" si="97"/>
        <v>53083</v>
      </c>
      <c r="D229" s="57">
        <f ca="1">IF(AND(B228&lt;59.5,OR(B229&gt;59.5,B229=59.5)),(D228-E228+J228-K228)*(1+'Retirement Planning'!$J$23/12),(D228-E228)*(1+'Retirement Planning'!$J$23/12))</f>
        <v>467618.78158440255</v>
      </c>
      <c r="E229" s="58">
        <f t="shared" ca="1" si="84"/>
        <v>1260.2964449907831</v>
      </c>
      <c r="F229" s="57">
        <f ca="1">IF(AND(OR(B229&gt;59.5,B229=59.5),B228&lt;59.5),(F228-G228+L228-M228+N228-O228)*(1+'Retirement Planning'!$J$23/12),(F228-G228)*(1+'Retirement Planning'!$J$23/12))</f>
        <v>1393858.6757441969</v>
      </c>
      <c r="G229" s="58">
        <f ca="1">IF(AND($B$10&lt;55,B229&lt;59.5),'Retirement Planning'!$J$25,IF(OR(B229&gt;59.5,B229=59.5),MAX(0,MIN(F229,IF(D229&lt;2500,((Y229+AJ229+AA229))-X229,((Y229+AJ229+AA229)*'Retirement Planning'!$J$44)-X229))),0))</f>
        <v>8736.1087762430197</v>
      </c>
      <c r="H229" s="255">
        <f ca="1">IF(MONTH(C229)=1,IF(B229&gt;69.5,F229/(INDEX('Retirement Planning'!D$1:D$264,(160+INT(B229))))/12,0),IF(F229=0,0,H228))</f>
        <v>7824.5104958986558</v>
      </c>
      <c r="I229" s="262">
        <f t="shared" ca="1" si="85"/>
        <v>0</v>
      </c>
      <c r="J229" s="254">
        <f ca="1">IF(AND(B228&lt;59.5,OR(B229=59.5,B229&gt;59.5)),0,(J228-K228)*(1+'Retirement Planning'!$J$23/12))</f>
        <v>0</v>
      </c>
      <c r="K229" s="58">
        <f t="shared" ca="1" si="86"/>
        <v>0</v>
      </c>
      <c r="L229" s="57">
        <f>IF(AND(OR(B229&gt;59.5,B229=59.5),B228&lt;59.5),0,(L228-M228)*(1+'Retirement Planning'!$J$23/12))</f>
        <v>0</v>
      </c>
      <c r="M229" s="59">
        <f>IF(AND($B$10&lt;55,B229&lt;59.5),0,IF(B229&lt;59.5,MAX(0,MIN((($Y229+$AJ229+AA229)*'Retirement Planning'!$J$44)-$G229-$X229,L229)),0))</f>
        <v>0</v>
      </c>
      <c r="N229" s="57">
        <f ca="1">(N228-O228)*(1+'Retirement Planning'!$J$23/12)</f>
        <v>0</v>
      </c>
      <c r="O229" s="59">
        <f ca="1">IF(B229&gt;59.5,MAX(0,MIN((AA229+$Y229+$AJ229)*(IF(D229&lt;(MIN(E217:E228)+1),1,'Retirement Planning'!$J$44))-M229-$G229-$X229-(IF(D229&lt;(MIN(E217:E228)+1),D229,0)),N229)),0)</f>
        <v>0</v>
      </c>
      <c r="P229" s="57">
        <f t="shared" si="98"/>
        <v>0</v>
      </c>
      <c r="Q229" s="58">
        <f t="shared" si="99"/>
        <v>0</v>
      </c>
      <c r="R229" s="57">
        <f ca="1">(R228-S228-T228)*(1+'Retirement Planning'!$J$23/12)</f>
        <v>528052.23302294989</v>
      </c>
      <c r="S229" s="58">
        <f t="shared" ca="1" si="100"/>
        <v>808.33333333333337</v>
      </c>
      <c r="T229" s="273">
        <f t="shared" ca="1" si="87"/>
        <v>-2.2737367544323206E-13</v>
      </c>
      <c r="U229" s="57">
        <f ca="1">(U228-V228)*(1+'Retirement Planning'!$J$23/12)</f>
        <v>386675.69340731454</v>
      </c>
      <c r="V229" s="24">
        <f ca="1">IF(AND($B$10&lt;55,B229&lt;59.5),MIN(U229,MAX(0,(Y229+AA229+AJ229-G229)*'Retirement Planning'!$J$45)),IF(B229&lt;59.5,(MIN(U229,MAX(0,((Y229+AA229+AJ229)-G229-M229)*'Retirement Planning'!$J$45))),MIN(U229,MAX(0,(Y229+AA229+AJ229-G229-M229-K229-X229)*'Retirement Planning'!$J$45))))</f>
        <v>1073.5858605477033</v>
      </c>
      <c r="W229" s="7">
        <f t="shared" ca="1" si="88"/>
        <v>2776205.3837588639</v>
      </c>
      <c r="X229" s="7">
        <f>(IF(B229&gt;'Retirement Planning'!$J$34,IF('Retirement Planning'!$J$34=70,'Retirement Planning'!$J$37/12,IF('Retirement Planning'!$J$34=67,'Retirement Planning'!$J$36/12,'Retirement Planning'!$J$35/12)),0))*'Retirement Planning'!$J$38</f>
        <v>1213.6000000000001</v>
      </c>
      <c r="Y229" s="7">
        <f ca="1">'Retirement Planning'!$F$35*((1+'Retirement Planning'!$J$24)^(YEAR('Projected Retirement Drawdown'!C229)-YEAR(TODAY())))</f>
        <v>9643.2075714566599</v>
      </c>
      <c r="Z229" s="7">
        <f ca="1">G229+M229+O229+0.85*X229+V229*'Retirement Planning'!$J$46+T229</f>
        <v>10358.140999544255</v>
      </c>
      <c r="AA229" s="7">
        <f ca="1">IF(MONTH(C229)=1,(((MIN(MAX(0,((SUM(Z217:Z228)-'Retirement Planning'!$I$53-'Retirement Planning'!$I$54)-'Retirement Planning'!$J$51)*'Retirement Planning'!$I$52))))+(MIN(MAX(0,((SUM(Z217:Z228)-'Retirement Planning'!$I$53-'Retirement Planning'!$I$54)-'Retirement Planning'!$J$50)*'Retirement Planning'!$I$51),('Retirement Planning'!$J$51-'Retirement Planning'!$J$50)*'Retirement Planning'!$I$51))+(MIN(MAX(0,((SUM(Z217:Z228)-'Retirement Planning'!$I$53-'Retirement Planning'!$I$54)-'Retirement Planning'!$J$49)*'Retirement Planning'!$I$50),('Retirement Planning'!$J$50-'Retirement Planning'!$J$49)*'Retirement Planning'!$I$50)+MIN(MAX(0,((SUM(Z217:Z228)-'Retirement Planning'!$I$53-'Retirement Planning'!$I$54)-'Retirement Planning'!$J$48)*'Retirement Planning'!$I$49),('Retirement Planning'!$J$49-'Retirement Planning'!$J$48)*'Retirement Planning'!$I$49)+MIN(((SUM(Z217:Z228)-'Retirement Planning'!$I$53-'Retirement Planning'!$I$54))*'Retirement Planning'!$I$48,('Retirement Planning'!$J$48)*'Retirement Planning'!$I$48))+(IF((SUM(Z217:Z228)-'Retirement Planning'!$I$54-'Retirement Planning'!$I$61)&gt;'Retirement Planning'!$J$59,(SUM(Z217:Z228)-'Retirement Planning'!$I$54-'Retirement Planning'!$I$61-'Retirement Planning'!$J$59)*'Retirement Planning'!$I$60+'Retirement Planning'!$K$59,IF((SUM(Z217:Z228)-'Retirement Planning'!$I$54-'Retirement Planning'!$I$61)&gt;'Retirement Planning'!$J$58,(SUM(Z217:Z228)-'Retirement Planning'!$I$54-'Retirement Planning'!$I$61-'Retirement Planning'!$J$58)*'Retirement Planning'!$I$59+'Retirement Planning'!$K$58,IF((SUM(Z217:Z228)-'Retirement Planning'!$I$54-'Retirement Planning'!$I$61)&gt;'Retirement Planning'!$J$57,(SUM(Z217:Z228)-'Retirement Planning'!$I$54-'Retirement Planning'!$I$61-'Retirement Planning'!$J$57)*'Retirement Planning'!$I$58+'Retirement Planning'!$K$57,IF((SUM(Z217:Z228)-'Retirement Planning'!$I$54-'Retirement Planning'!$I$61)&gt;'Retirement Planning'!$J$56,(SUM(Z217:Z228)-'Retirement Planning'!$I$54-'Retirement Planning'!$I$61-'Retirement Planning'!$J$56)*'Retirement Planning'!$I$57+'Retirement Planning'!$K$56,(SUM(Z217:Z228)-'Retirement Planning'!$I$54-'Retirement Planning'!$I$61)*'Retirement Planning'!$I$56))))))/12,AA228)</f>
        <v>2323.7168436581796</v>
      </c>
      <c r="AB229" s="104">
        <f t="shared" ca="1" si="77"/>
        <v>0.23292393876501638</v>
      </c>
      <c r="AC229" s="7">
        <f>IF(B229&lt;65,'Retirement Planning'!$J$28,0)</f>
        <v>0</v>
      </c>
      <c r="AD229" s="7">
        <f>IF(B229&lt;65,'Retirement Planning'!$J$29/12,0)</f>
        <v>0</v>
      </c>
      <c r="AE229" s="22">
        <f>'Retirement Planning'!$J$31/12</f>
        <v>58.333333333333336</v>
      </c>
      <c r="AF229" s="22">
        <f>'Retirement Planning'!$J$32/12</f>
        <v>66.666666666666671</v>
      </c>
      <c r="AG229" s="7">
        <f>IF($B229&gt;64.9,'Retirement Planning'!$J$39/12,0)</f>
        <v>183.33333333333334</v>
      </c>
      <c r="AH229" s="7">
        <f>IF($B229&gt;64.9,'Retirement Planning'!$J$40/12,0)</f>
        <v>258.33333333333331</v>
      </c>
      <c r="AI229" s="7">
        <f>IF($B229&gt;64.9,'Retirement Planning'!$J$41/12,0)</f>
        <v>558.33333333333337</v>
      </c>
      <c r="AJ229" s="7">
        <f t="shared" ca="1" si="89"/>
        <v>316.66666666666663</v>
      </c>
      <c r="AK229" s="3" t="str">
        <f t="shared" ca="1" si="90"/>
        <v>N/A</v>
      </c>
      <c r="AL229" s="6" t="str">
        <f t="shared" ca="1" si="91"/>
        <v>N/A</v>
      </c>
      <c r="AM229" s="7">
        <f t="shared" ca="1" si="92"/>
        <v>1.1368683772161603E-12</v>
      </c>
      <c r="AN229" s="7">
        <f t="shared" ca="1" si="93"/>
        <v>13091.92441511484</v>
      </c>
      <c r="AO229" s="7">
        <f t="shared" si="94"/>
        <v>1125</v>
      </c>
    </row>
    <row r="230" spans="1:41" x14ac:dyDescent="0.2">
      <c r="A230">
        <f t="shared" si="95"/>
        <v>50</v>
      </c>
      <c r="B230" s="5">
        <f t="shared" si="96"/>
        <v>74.599999999999994</v>
      </c>
      <c r="C230" s="56">
        <f t="shared" si="97"/>
        <v>53114</v>
      </c>
      <c r="D230" s="57">
        <f ca="1">IF(AND(B229&lt;59.5,OR(B230&gt;59.5,B230=59.5)),(D229-E229+J229-K229)*(1+'Retirement Planning'!$J$23/12),(D229-E229)*(1+'Retirement Planning'!$J$23/12))</f>
        <v>469661.85774248256</v>
      </c>
      <c r="E230" s="58">
        <f t="shared" ca="1" si="84"/>
        <v>1260.2964449907831</v>
      </c>
      <c r="F230" s="57">
        <f ca="1">IF(AND(OR(B230&gt;59.5,B230=59.5),B229&lt;59.5),(F229-G229+L229-M229+N229-O229)*(1+'Retirement Planning'!$J$23/12),(F229-G229)*(1+'Retirement Planning'!$J$23/12))</f>
        <v>1394933.8518173103</v>
      </c>
      <c r="G230" s="58">
        <f ca="1">IF(AND($B$10&lt;55,B230&lt;59.5),'Retirement Planning'!$J$25,IF(OR(B230&gt;59.5,B230=59.5),MAX(0,MIN(F230,IF(D230&lt;2500,((Y230+AJ230+AA230))-X230,((Y230+AJ230+AA230)*'Retirement Planning'!$J$44)-X230))),0))</f>
        <v>8736.1087762430197</v>
      </c>
      <c r="H230" s="255">
        <f ca="1">IF(MONTH(C230)=1,IF(B230&gt;69.5,F230/(INDEX('Retirement Planning'!D$1:D$264,(160+INT(B230))))/12,0),IF(F230=0,0,H229))</f>
        <v>7824.5104958986558</v>
      </c>
      <c r="I230" s="262">
        <f t="shared" ca="1" si="85"/>
        <v>0</v>
      </c>
      <c r="J230" s="254">
        <f ca="1">IF(AND(B229&lt;59.5,OR(B230=59.5,B230&gt;59.5)),0,(J229-K229)*(1+'Retirement Planning'!$J$23/12))</f>
        <v>0</v>
      </c>
      <c r="K230" s="58">
        <f t="shared" ca="1" si="86"/>
        <v>0</v>
      </c>
      <c r="L230" s="57">
        <f>IF(AND(OR(B230&gt;59.5,B230=59.5),B229&lt;59.5),0,(L229-M229)*(1+'Retirement Planning'!$J$23/12))</f>
        <v>0</v>
      </c>
      <c r="M230" s="59">
        <f>IF(AND($B$10&lt;55,B230&lt;59.5),0,IF(B230&lt;59.5,MAX(0,MIN((($Y230+$AJ230+AA230)*'Retirement Planning'!$J$44)-$G230-$X230,L230)),0))</f>
        <v>0</v>
      </c>
      <c r="N230" s="57">
        <f ca="1">(N229-O229)*(1+'Retirement Planning'!$J$23/12)</f>
        <v>0</v>
      </c>
      <c r="O230" s="59">
        <f ca="1">IF(B230&gt;59.5,MAX(0,MIN((AA230+$Y230+$AJ230)*(IF(D230&lt;(MIN(E218:E229)+1),1,'Retirement Planning'!$J$44))-M230-$G230-$X230-(IF(D230&lt;(MIN(E218:E229)+1),D230,0)),N230)),0)</f>
        <v>0</v>
      </c>
      <c r="P230" s="57">
        <f t="shared" si="98"/>
        <v>0</v>
      </c>
      <c r="Q230" s="58">
        <f t="shared" si="99"/>
        <v>0</v>
      </c>
      <c r="R230" s="57">
        <f ca="1">(R229-S229-T229)*(1+'Retirement Planning'!$J$23/12)</f>
        <v>530978.54397908458</v>
      </c>
      <c r="S230" s="58">
        <f t="shared" ca="1" si="100"/>
        <v>808.33333333333337</v>
      </c>
      <c r="T230" s="273">
        <f t="shared" ca="1" si="87"/>
        <v>-2.2737367544323206E-13</v>
      </c>
      <c r="U230" s="57">
        <f ca="1">(U229-V229)*(1+'Retirement Planning'!$J$23/12)</f>
        <v>388333.45580855641</v>
      </c>
      <c r="V230" s="24">
        <f ca="1">IF(AND($B$10&lt;55,B230&lt;59.5),MIN(U230,MAX(0,(Y230+AA230+AJ230-G230)*'Retirement Planning'!$J$45)),IF(B230&lt;59.5,(MIN(U230,MAX(0,((Y230+AA230+AJ230)-G230-M230)*'Retirement Planning'!$J$45))),MIN(U230,MAX(0,(Y230+AA230+AJ230-G230-M230-K230-X230)*'Retirement Planning'!$J$45))))</f>
        <v>1073.5858605477033</v>
      </c>
      <c r="W230" s="7">
        <f t="shared" ca="1" si="88"/>
        <v>2783907.7093474343</v>
      </c>
      <c r="X230" s="7">
        <f>(IF(B230&gt;'Retirement Planning'!$J$34,IF('Retirement Planning'!$J$34=70,'Retirement Planning'!$J$37/12,IF('Retirement Planning'!$J$34=67,'Retirement Planning'!$J$36/12,'Retirement Planning'!$J$35/12)),0))*'Retirement Planning'!$J$38</f>
        <v>1213.6000000000001</v>
      </c>
      <c r="Y230" s="7">
        <f ca="1">'Retirement Planning'!$F$35*((1+'Retirement Planning'!$J$24)^(YEAR('Projected Retirement Drawdown'!C230)-YEAR(TODAY())))</f>
        <v>9643.2075714566599</v>
      </c>
      <c r="Z230" s="7">
        <f ca="1">G230+M230+O230+0.85*X230+V230*'Retirement Planning'!$J$46+T230</f>
        <v>10358.140999544255</v>
      </c>
      <c r="AA230" s="7">
        <f ca="1">IF(MONTH(C230)=1,(((MIN(MAX(0,((SUM(Z218:Z229)-'Retirement Planning'!$I$53-'Retirement Planning'!$I$54)-'Retirement Planning'!$J$51)*'Retirement Planning'!$I$52))))+(MIN(MAX(0,((SUM(Z218:Z229)-'Retirement Planning'!$I$53-'Retirement Planning'!$I$54)-'Retirement Planning'!$J$50)*'Retirement Planning'!$I$51),('Retirement Planning'!$J$51-'Retirement Planning'!$J$50)*'Retirement Planning'!$I$51))+(MIN(MAX(0,((SUM(Z218:Z229)-'Retirement Planning'!$I$53-'Retirement Planning'!$I$54)-'Retirement Planning'!$J$49)*'Retirement Planning'!$I$50),('Retirement Planning'!$J$50-'Retirement Planning'!$J$49)*'Retirement Planning'!$I$50)+MIN(MAX(0,((SUM(Z218:Z229)-'Retirement Planning'!$I$53-'Retirement Planning'!$I$54)-'Retirement Planning'!$J$48)*'Retirement Planning'!$I$49),('Retirement Planning'!$J$49-'Retirement Planning'!$J$48)*'Retirement Planning'!$I$49)+MIN(((SUM(Z218:Z229)-'Retirement Planning'!$I$53-'Retirement Planning'!$I$54))*'Retirement Planning'!$I$48,('Retirement Planning'!$J$48)*'Retirement Planning'!$I$48))+(IF((SUM(Z218:Z229)-'Retirement Planning'!$I$54-'Retirement Planning'!$I$61)&gt;'Retirement Planning'!$J$59,(SUM(Z218:Z229)-'Retirement Planning'!$I$54-'Retirement Planning'!$I$61-'Retirement Planning'!$J$59)*'Retirement Planning'!$I$60+'Retirement Planning'!$K$59,IF((SUM(Z218:Z229)-'Retirement Planning'!$I$54-'Retirement Planning'!$I$61)&gt;'Retirement Planning'!$J$58,(SUM(Z218:Z229)-'Retirement Planning'!$I$54-'Retirement Planning'!$I$61-'Retirement Planning'!$J$58)*'Retirement Planning'!$I$59+'Retirement Planning'!$K$58,IF((SUM(Z218:Z229)-'Retirement Planning'!$I$54-'Retirement Planning'!$I$61)&gt;'Retirement Planning'!$J$57,(SUM(Z218:Z229)-'Retirement Planning'!$I$54-'Retirement Planning'!$I$61-'Retirement Planning'!$J$57)*'Retirement Planning'!$I$58+'Retirement Planning'!$K$57,IF((SUM(Z218:Z229)-'Retirement Planning'!$I$54-'Retirement Planning'!$I$61)&gt;'Retirement Planning'!$J$56,(SUM(Z218:Z229)-'Retirement Planning'!$I$54-'Retirement Planning'!$I$61-'Retirement Planning'!$J$56)*'Retirement Planning'!$I$57+'Retirement Planning'!$K$56,(SUM(Z218:Z229)-'Retirement Planning'!$I$54-'Retirement Planning'!$I$61)*'Retirement Planning'!$I$56))))))/12,AA229)</f>
        <v>2323.7168436581796</v>
      </c>
      <c r="AB230" s="104">
        <f t="shared" ca="1" si="77"/>
        <v>0.23292393876501638</v>
      </c>
      <c r="AC230" s="7">
        <f>IF(B230&lt;65,'Retirement Planning'!$J$28,0)</f>
        <v>0</v>
      </c>
      <c r="AD230" s="7">
        <f>IF(B230&lt;65,'Retirement Planning'!$J$29/12,0)</f>
        <v>0</v>
      </c>
      <c r="AE230" s="22">
        <f>'Retirement Planning'!$J$31/12</f>
        <v>58.333333333333336</v>
      </c>
      <c r="AF230" s="22">
        <f>'Retirement Planning'!$J$32/12</f>
        <v>66.666666666666671</v>
      </c>
      <c r="AG230" s="7">
        <f>IF($B230&gt;64.9,'Retirement Planning'!$J$39/12,0)</f>
        <v>183.33333333333334</v>
      </c>
      <c r="AH230" s="7">
        <f>IF($B230&gt;64.9,'Retirement Planning'!$J$40/12,0)</f>
        <v>258.33333333333331</v>
      </c>
      <c r="AI230" s="7">
        <f>IF($B230&gt;64.9,'Retirement Planning'!$J$41/12,0)</f>
        <v>558.33333333333337</v>
      </c>
      <c r="AJ230" s="7">
        <f t="shared" ca="1" si="89"/>
        <v>316.66666666666663</v>
      </c>
      <c r="AK230" s="3" t="str">
        <f t="shared" ca="1" si="90"/>
        <v>N/A</v>
      </c>
      <c r="AL230" s="6" t="str">
        <f t="shared" ca="1" si="91"/>
        <v>N/A</v>
      </c>
      <c r="AM230" s="7">
        <f t="shared" ca="1" si="92"/>
        <v>1.1368683772161603E-12</v>
      </c>
      <c r="AN230" s="7">
        <f t="shared" ca="1" si="93"/>
        <v>13091.92441511484</v>
      </c>
      <c r="AO230" s="7">
        <f t="shared" si="94"/>
        <v>1125</v>
      </c>
    </row>
    <row r="231" spans="1:41" x14ac:dyDescent="0.2">
      <c r="A231">
        <f t="shared" si="95"/>
        <v>50</v>
      </c>
      <c r="B231" s="5">
        <f t="shared" si="96"/>
        <v>74.7</v>
      </c>
      <c r="C231" s="56">
        <f t="shared" si="97"/>
        <v>53144</v>
      </c>
      <c r="D231" s="57">
        <f ca="1">IF(AND(B230&lt;59.5,OR(B231&gt;59.5,B231=59.5)),(D230-E230+J230-K230)*(1+'Retirement Planning'!$J$23/12),(D230-E230)*(1+'Retirement Planning'!$J$23/12))</f>
        <v>471719.4056900157</v>
      </c>
      <c r="E231" s="58">
        <f t="shared" ca="1" si="84"/>
        <v>1260.2964449907831</v>
      </c>
      <c r="F231" s="57">
        <f ca="1">IF(AND(OR(B231&gt;59.5,B231=59.5),B230&lt;59.5),(F230-G230+L230-M230+N230-O230)*(1+'Retirement Planning'!$J$23/12),(F230-G230)*(1+'Retirement Planning'!$J$23/12))</f>
        <v>1396016.6437209416</v>
      </c>
      <c r="G231" s="58">
        <f ca="1">IF(AND($B$10&lt;55,B231&lt;59.5),'Retirement Planning'!$J$25,IF(OR(B231&gt;59.5,B231=59.5),MAX(0,MIN(F231,IF(D231&lt;2500,((Y231+AJ231+AA231))-X231,((Y231+AJ231+AA231)*'Retirement Planning'!$J$44)-X231))),0))</f>
        <v>8736.1087762430197</v>
      </c>
      <c r="H231" s="255">
        <f ca="1">IF(MONTH(C231)=1,IF(B231&gt;69.5,F231/(INDEX('Retirement Planning'!D$1:D$264,(160+INT(B231))))/12,0),IF(F231=0,0,H230))</f>
        <v>7824.5104958986558</v>
      </c>
      <c r="I231" s="262">
        <f t="shared" ca="1" si="85"/>
        <v>0</v>
      </c>
      <c r="J231" s="254">
        <f ca="1">IF(AND(B230&lt;59.5,OR(B231=59.5,B231&gt;59.5)),0,(J230-K230)*(1+'Retirement Planning'!$J$23/12))</f>
        <v>0</v>
      </c>
      <c r="K231" s="58">
        <f t="shared" ca="1" si="86"/>
        <v>0</v>
      </c>
      <c r="L231" s="57">
        <f>IF(AND(OR(B231&gt;59.5,B231=59.5),B230&lt;59.5),0,(L230-M230)*(1+'Retirement Planning'!$J$23/12))</f>
        <v>0</v>
      </c>
      <c r="M231" s="59">
        <f>IF(AND($B$10&lt;55,B231&lt;59.5),0,IF(B231&lt;59.5,MAX(0,MIN((($Y231+$AJ231+AA231)*'Retirement Planning'!$J$44)-$G231-$X231,L231)),0))</f>
        <v>0</v>
      </c>
      <c r="N231" s="57">
        <f ca="1">(N230-O230)*(1+'Retirement Planning'!$J$23/12)</f>
        <v>0</v>
      </c>
      <c r="O231" s="59">
        <f ca="1">IF(B231&gt;59.5,MAX(0,MIN((AA231+$Y231+$AJ231)*(IF(D231&lt;(MIN(E219:E230)+1),1,'Retirement Planning'!$J$44))-M231-$G231-$X231-(IF(D231&lt;(MIN(E219:E230)+1),D231,0)),N231)),0)</f>
        <v>0</v>
      </c>
      <c r="P231" s="57">
        <f t="shared" si="98"/>
        <v>0</v>
      </c>
      <c r="Q231" s="58">
        <f t="shared" si="99"/>
        <v>0</v>
      </c>
      <c r="R231" s="57">
        <f ca="1">(R230-S230-T230)*(1+'Retirement Planning'!$J$23/12)</f>
        <v>533925.58297115867</v>
      </c>
      <c r="S231" s="58">
        <f t="shared" ca="1" si="100"/>
        <v>808.33333333333337</v>
      </c>
      <c r="T231" s="273">
        <f t="shared" ca="1" si="87"/>
        <v>-2.2737367544323206E-13</v>
      </c>
      <c r="U231" s="57">
        <f ca="1">(U230-V230)*(1+'Retirement Planning'!$J$23/12)</f>
        <v>390002.96069347375</v>
      </c>
      <c r="V231" s="24">
        <f ca="1">IF(AND($B$10&lt;55,B231&lt;59.5),MIN(U231,MAX(0,(Y231+AA231+AJ231-G231)*'Retirement Planning'!$J$45)),IF(B231&lt;59.5,(MIN(U231,MAX(0,((Y231+AA231+AJ231)-G231-M231)*'Retirement Planning'!$J$45))),MIN(U231,MAX(0,(Y231+AA231+AJ231-G231-M231-K231-X231)*'Retirement Planning'!$J$45))))</f>
        <v>1073.5858605477033</v>
      </c>
      <c r="W231" s="7">
        <f t="shared" ca="1" si="88"/>
        <v>2791664.5930755902</v>
      </c>
      <c r="X231" s="7">
        <f>(IF(B231&gt;'Retirement Planning'!$J$34,IF('Retirement Planning'!$J$34=70,'Retirement Planning'!$J$37/12,IF('Retirement Planning'!$J$34=67,'Retirement Planning'!$J$36/12,'Retirement Planning'!$J$35/12)),0))*'Retirement Planning'!$J$38</f>
        <v>1213.6000000000001</v>
      </c>
      <c r="Y231" s="7">
        <f ca="1">'Retirement Planning'!$F$35*((1+'Retirement Planning'!$J$24)^(YEAR('Projected Retirement Drawdown'!C231)-YEAR(TODAY())))</f>
        <v>9643.2075714566599</v>
      </c>
      <c r="Z231" s="7">
        <f ca="1">G231+M231+O231+0.85*X231+V231*'Retirement Planning'!$J$46+T231</f>
        <v>10358.140999544255</v>
      </c>
      <c r="AA231" s="7">
        <f ca="1">IF(MONTH(C231)=1,(((MIN(MAX(0,((SUM(Z219:Z230)-'Retirement Planning'!$I$53-'Retirement Planning'!$I$54)-'Retirement Planning'!$J$51)*'Retirement Planning'!$I$52))))+(MIN(MAX(0,((SUM(Z219:Z230)-'Retirement Planning'!$I$53-'Retirement Planning'!$I$54)-'Retirement Planning'!$J$50)*'Retirement Planning'!$I$51),('Retirement Planning'!$J$51-'Retirement Planning'!$J$50)*'Retirement Planning'!$I$51))+(MIN(MAX(0,((SUM(Z219:Z230)-'Retirement Planning'!$I$53-'Retirement Planning'!$I$54)-'Retirement Planning'!$J$49)*'Retirement Planning'!$I$50),('Retirement Planning'!$J$50-'Retirement Planning'!$J$49)*'Retirement Planning'!$I$50)+MIN(MAX(0,((SUM(Z219:Z230)-'Retirement Planning'!$I$53-'Retirement Planning'!$I$54)-'Retirement Planning'!$J$48)*'Retirement Planning'!$I$49),('Retirement Planning'!$J$49-'Retirement Planning'!$J$48)*'Retirement Planning'!$I$49)+MIN(((SUM(Z219:Z230)-'Retirement Planning'!$I$53-'Retirement Planning'!$I$54))*'Retirement Planning'!$I$48,('Retirement Planning'!$J$48)*'Retirement Planning'!$I$48))+(IF((SUM(Z219:Z230)-'Retirement Planning'!$I$54-'Retirement Planning'!$I$61)&gt;'Retirement Planning'!$J$59,(SUM(Z219:Z230)-'Retirement Planning'!$I$54-'Retirement Planning'!$I$61-'Retirement Planning'!$J$59)*'Retirement Planning'!$I$60+'Retirement Planning'!$K$59,IF((SUM(Z219:Z230)-'Retirement Planning'!$I$54-'Retirement Planning'!$I$61)&gt;'Retirement Planning'!$J$58,(SUM(Z219:Z230)-'Retirement Planning'!$I$54-'Retirement Planning'!$I$61-'Retirement Planning'!$J$58)*'Retirement Planning'!$I$59+'Retirement Planning'!$K$58,IF((SUM(Z219:Z230)-'Retirement Planning'!$I$54-'Retirement Planning'!$I$61)&gt;'Retirement Planning'!$J$57,(SUM(Z219:Z230)-'Retirement Planning'!$I$54-'Retirement Planning'!$I$61-'Retirement Planning'!$J$57)*'Retirement Planning'!$I$58+'Retirement Planning'!$K$57,IF((SUM(Z219:Z230)-'Retirement Planning'!$I$54-'Retirement Planning'!$I$61)&gt;'Retirement Planning'!$J$56,(SUM(Z219:Z230)-'Retirement Planning'!$I$54-'Retirement Planning'!$I$61-'Retirement Planning'!$J$56)*'Retirement Planning'!$I$57+'Retirement Planning'!$K$56,(SUM(Z219:Z230)-'Retirement Planning'!$I$54-'Retirement Planning'!$I$61)*'Retirement Planning'!$I$56))))))/12,AA230)</f>
        <v>2323.7168436581796</v>
      </c>
      <c r="AB231" s="104">
        <f t="shared" ca="1" si="77"/>
        <v>0.23292393876501638</v>
      </c>
      <c r="AC231" s="7">
        <f>IF(B231&lt;65,'Retirement Planning'!$J$28,0)</f>
        <v>0</v>
      </c>
      <c r="AD231" s="7">
        <f>IF(B231&lt;65,'Retirement Planning'!$J$29/12,0)</f>
        <v>0</v>
      </c>
      <c r="AE231" s="22">
        <f>'Retirement Planning'!$J$31/12</f>
        <v>58.333333333333336</v>
      </c>
      <c r="AF231" s="22">
        <f>'Retirement Planning'!$J$32/12</f>
        <v>66.666666666666671</v>
      </c>
      <c r="AG231" s="7">
        <f>IF($B231&gt;64.9,'Retirement Planning'!$J$39/12,0)</f>
        <v>183.33333333333334</v>
      </c>
      <c r="AH231" s="7">
        <f>IF($B231&gt;64.9,'Retirement Planning'!$J$40/12,0)</f>
        <v>258.33333333333331</v>
      </c>
      <c r="AI231" s="7">
        <f>IF($B231&gt;64.9,'Retirement Planning'!$J$41/12,0)</f>
        <v>558.33333333333337</v>
      </c>
      <c r="AJ231" s="7">
        <f t="shared" ca="1" si="89"/>
        <v>316.66666666666663</v>
      </c>
      <c r="AK231" s="3" t="str">
        <f t="shared" ca="1" si="90"/>
        <v>N/A</v>
      </c>
      <c r="AL231" s="6" t="str">
        <f t="shared" ca="1" si="91"/>
        <v>N/A</v>
      </c>
      <c r="AM231" s="7">
        <f t="shared" ca="1" si="92"/>
        <v>1.1368683772161603E-12</v>
      </c>
      <c r="AN231" s="7">
        <f t="shared" ca="1" si="93"/>
        <v>13091.92441511484</v>
      </c>
      <c r="AO231" s="7">
        <f t="shared" si="94"/>
        <v>1125</v>
      </c>
    </row>
    <row r="232" spans="1:41" x14ac:dyDescent="0.2">
      <c r="A232">
        <f t="shared" si="95"/>
        <v>50</v>
      </c>
      <c r="B232" s="5">
        <f t="shared" si="96"/>
        <v>74.8</v>
      </c>
      <c r="C232" s="56">
        <f t="shared" si="97"/>
        <v>53175</v>
      </c>
      <c r="D232" s="57">
        <f ca="1">IF(AND(B231&lt;59.5,OR(B232&gt;59.5,B232=59.5)),(D231-E231+J231-K231)*(1+'Retirement Planning'!$J$23/12),(D231-E231)*(1+'Retirement Planning'!$J$23/12))</f>
        <v>473791.5279355105</v>
      </c>
      <c r="E232" s="58">
        <f t="shared" ca="1" si="84"/>
        <v>1260.2964449907831</v>
      </c>
      <c r="F232" s="57">
        <f ca="1">IF(AND(OR(B232&gt;59.5,B232=59.5),B231&lt;59.5),(F231-G231+L231-M231+N231-O231)*(1+'Retirement Planning'!$J$23/12),(F231-G231)*(1+'Retirement Planning'!$J$23/12))</f>
        <v>1397107.1054005569</v>
      </c>
      <c r="G232" s="58">
        <f ca="1">IF(AND($B$10&lt;55,B232&lt;59.5),'Retirement Planning'!$J$25,IF(OR(B232&gt;59.5,B232=59.5),MAX(0,MIN(F232,IF(D232&lt;2500,((Y232+AJ232+AA232))-X232,((Y232+AJ232+AA232)*'Retirement Planning'!$J$44)-X232))),0))</f>
        <v>8736.1087762430197</v>
      </c>
      <c r="H232" s="255">
        <f ca="1">IF(MONTH(C232)=1,IF(B232&gt;69.5,F232/(INDEX('Retirement Planning'!D$1:D$264,(160+INT(B232))))/12,0),IF(F232=0,0,H231))</f>
        <v>7824.5104958986558</v>
      </c>
      <c r="I232" s="262">
        <f t="shared" ca="1" si="85"/>
        <v>0</v>
      </c>
      <c r="J232" s="254">
        <f ca="1">IF(AND(B231&lt;59.5,OR(B232=59.5,B232&gt;59.5)),0,(J231-K231)*(1+'Retirement Planning'!$J$23/12))</f>
        <v>0</v>
      </c>
      <c r="K232" s="58">
        <f t="shared" ca="1" si="86"/>
        <v>0</v>
      </c>
      <c r="L232" s="57">
        <f>IF(AND(OR(B232&gt;59.5,B232=59.5),B231&lt;59.5),0,(L231-M231)*(1+'Retirement Planning'!$J$23/12))</f>
        <v>0</v>
      </c>
      <c r="M232" s="59">
        <f>IF(AND($B$10&lt;55,B232&lt;59.5),0,IF(B232&lt;59.5,MAX(0,MIN((($Y232+$AJ232+AA232)*'Retirement Planning'!$J$44)-$G232-$X232,L232)),0))</f>
        <v>0</v>
      </c>
      <c r="N232" s="57">
        <f ca="1">(N231-O231)*(1+'Retirement Planning'!$J$23/12)</f>
        <v>0</v>
      </c>
      <c r="O232" s="59">
        <f ca="1">IF(B232&gt;59.5,MAX(0,MIN((AA232+$Y232+$AJ232)*(IF(D232&lt;(MIN(E220:E231)+1),1,'Retirement Planning'!$J$44))-M232-$G232-$X232-(IF(D232&lt;(MIN(E220:E231)+1),D232,0)),N232)),0)</f>
        <v>0</v>
      </c>
      <c r="P232" s="57">
        <f t="shared" si="98"/>
        <v>0</v>
      </c>
      <c r="Q232" s="58">
        <f t="shared" si="99"/>
        <v>0</v>
      </c>
      <c r="R232" s="57">
        <f ca="1">(R231-S231-T231)*(1+'Retirement Planning'!$J$23/12)</f>
        <v>536893.49682275986</v>
      </c>
      <c r="S232" s="58">
        <f t="shared" ca="1" si="100"/>
        <v>808.33333333333337</v>
      </c>
      <c r="T232" s="273">
        <f t="shared" ca="1" si="87"/>
        <v>-2.2737367544323206E-13</v>
      </c>
      <c r="U232" s="57">
        <f ca="1">(U231-V231)*(1+'Retirement Planning'!$J$23/12)</f>
        <v>391684.29123799258</v>
      </c>
      <c r="V232" s="24">
        <f ca="1">IF(AND($B$10&lt;55,B232&lt;59.5),MIN(U232,MAX(0,(Y232+AA232+AJ232-G232)*'Retirement Planning'!$J$45)),IF(B232&lt;59.5,(MIN(U232,MAX(0,((Y232+AA232+AJ232)-G232-M232)*'Retirement Planning'!$J$45))),MIN(U232,MAX(0,(Y232+AA232+AJ232-G232-M232-K232-X232)*'Retirement Planning'!$J$45))))</f>
        <v>1073.5858605477033</v>
      </c>
      <c r="W232" s="7">
        <f t="shared" ca="1" si="88"/>
        <v>2799476.4213968199</v>
      </c>
      <c r="X232" s="7">
        <f>(IF(B232&gt;'Retirement Planning'!$J$34,IF('Retirement Planning'!$J$34=70,'Retirement Planning'!$J$37/12,IF('Retirement Planning'!$J$34=67,'Retirement Planning'!$J$36/12,'Retirement Planning'!$J$35/12)),0))*'Retirement Planning'!$J$38</f>
        <v>1213.6000000000001</v>
      </c>
      <c r="Y232" s="7">
        <f ca="1">'Retirement Planning'!$F$35*((1+'Retirement Planning'!$J$24)^(YEAR('Projected Retirement Drawdown'!C232)-YEAR(TODAY())))</f>
        <v>9643.2075714566599</v>
      </c>
      <c r="Z232" s="7">
        <f ca="1">G232+M232+O232+0.85*X232+V232*'Retirement Planning'!$J$46+T232</f>
        <v>10358.140999544255</v>
      </c>
      <c r="AA232" s="7">
        <f ca="1">IF(MONTH(C232)=1,(((MIN(MAX(0,((SUM(Z220:Z231)-'Retirement Planning'!$I$53-'Retirement Planning'!$I$54)-'Retirement Planning'!$J$51)*'Retirement Planning'!$I$52))))+(MIN(MAX(0,((SUM(Z220:Z231)-'Retirement Planning'!$I$53-'Retirement Planning'!$I$54)-'Retirement Planning'!$J$50)*'Retirement Planning'!$I$51),('Retirement Planning'!$J$51-'Retirement Planning'!$J$50)*'Retirement Planning'!$I$51))+(MIN(MAX(0,((SUM(Z220:Z231)-'Retirement Planning'!$I$53-'Retirement Planning'!$I$54)-'Retirement Planning'!$J$49)*'Retirement Planning'!$I$50),('Retirement Planning'!$J$50-'Retirement Planning'!$J$49)*'Retirement Planning'!$I$50)+MIN(MAX(0,((SUM(Z220:Z231)-'Retirement Planning'!$I$53-'Retirement Planning'!$I$54)-'Retirement Planning'!$J$48)*'Retirement Planning'!$I$49),('Retirement Planning'!$J$49-'Retirement Planning'!$J$48)*'Retirement Planning'!$I$49)+MIN(((SUM(Z220:Z231)-'Retirement Planning'!$I$53-'Retirement Planning'!$I$54))*'Retirement Planning'!$I$48,('Retirement Planning'!$J$48)*'Retirement Planning'!$I$48))+(IF((SUM(Z220:Z231)-'Retirement Planning'!$I$54-'Retirement Planning'!$I$61)&gt;'Retirement Planning'!$J$59,(SUM(Z220:Z231)-'Retirement Planning'!$I$54-'Retirement Planning'!$I$61-'Retirement Planning'!$J$59)*'Retirement Planning'!$I$60+'Retirement Planning'!$K$59,IF((SUM(Z220:Z231)-'Retirement Planning'!$I$54-'Retirement Planning'!$I$61)&gt;'Retirement Planning'!$J$58,(SUM(Z220:Z231)-'Retirement Planning'!$I$54-'Retirement Planning'!$I$61-'Retirement Planning'!$J$58)*'Retirement Planning'!$I$59+'Retirement Planning'!$K$58,IF((SUM(Z220:Z231)-'Retirement Planning'!$I$54-'Retirement Planning'!$I$61)&gt;'Retirement Planning'!$J$57,(SUM(Z220:Z231)-'Retirement Planning'!$I$54-'Retirement Planning'!$I$61-'Retirement Planning'!$J$57)*'Retirement Planning'!$I$58+'Retirement Planning'!$K$57,IF((SUM(Z220:Z231)-'Retirement Planning'!$I$54-'Retirement Planning'!$I$61)&gt;'Retirement Planning'!$J$56,(SUM(Z220:Z231)-'Retirement Planning'!$I$54-'Retirement Planning'!$I$61-'Retirement Planning'!$J$56)*'Retirement Planning'!$I$57+'Retirement Planning'!$K$56,(SUM(Z220:Z231)-'Retirement Planning'!$I$54-'Retirement Planning'!$I$61)*'Retirement Planning'!$I$56))))))/12,AA231)</f>
        <v>2323.7168436581796</v>
      </c>
      <c r="AB232" s="104">
        <f t="shared" ca="1" si="77"/>
        <v>0.23292393876501638</v>
      </c>
      <c r="AC232" s="7">
        <f>IF(B232&lt;65,'Retirement Planning'!$J$28,0)</f>
        <v>0</v>
      </c>
      <c r="AD232" s="7">
        <f>IF(B232&lt;65,'Retirement Planning'!$J$29/12,0)</f>
        <v>0</v>
      </c>
      <c r="AE232" s="22">
        <f>'Retirement Planning'!$J$31/12</f>
        <v>58.333333333333336</v>
      </c>
      <c r="AF232" s="22">
        <f>'Retirement Planning'!$J$32/12</f>
        <v>66.666666666666671</v>
      </c>
      <c r="AG232" s="7">
        <f>IF($B232&gt;64.9,'Retirement Planning'!$J$39/12,0)</f>
        <v>183.33333333333334</v>
      </c>
      <c r="AH232" s="7">
        <f>IF($B232&gt;64.9,'Retirement Planning'!$J$40/12,0)</f>
        <v>258.33333333333331</v>
      </c>
      <c r="AI232" s="7">
        <f>IF($B232&gt;64.9,'Retirement Planning'!$J$41/12,0)</f>
        <v>558.33333333333337</v>
      </c>
      <c r="AJ232" s="7">
        <f t="shared" ca="1" si="89"/>
        <v>316.66666666666663</v>
      </c>
      <c r="AK232" s="3" t="str">
        <f t="shared" ca="1" si="90"/>
        <v>N/A</v>
      </c>
      <c r="AL232" s="6" t="str">
        <f t="shared" ca="1" si="91"/>
        <v>N/A</v>
      </c>
      <c r="AM232" s="7">
        <f t="shared" ca="1" si="92"/>
        <v>1.1368683772161603E-12</v>
      </c>
      <c r="AN232" s="7">
        <f t="shared" ca="1" si="93"/>
        <v>13091.92441511484</v>
      </c>
      <c r="AO232" s="7">
        <f t="shared" si="94"/>
        <v>1125</v>
      </c>
    </row>
    <row r="233" spans="1:41" x14ac:dyDescent="0.2">
      <c r="A233">
        <f t="shared" si="95"/>
        <v>50</v>
      </c>
      <c r="B233" s="5">
        <f t="shared" si="96"/>
        <v>74.900000000000006</v>
      </c>
      <c r="C233" s="56">
        <f t="shared" si="97"/>
        <v>53206</v>
      </c>
      <c r="D233" s="57">
        <f ca="1">IF(AND(B232&lt;59.5,OR(B233&gt;59.5,B233=59.5)),(D232-E232+J232-K232)*(1+'Retirement Planning'!$J$23/12),(D232-E232)*(1+'Retirement Planning'!$J$23/12))</f>
        <v>475878.32771357754</v>
      </c>
      <c r="E233" s="58">
        <f t="shared" ca="1" si="84"/>
        <v>1260.2964449907831</v>
      </c>
      <c r="F233" s="57">
        <f ca="1">IF(AND(OR(B233&gt;59.5,B233=59.5),B232&lt;59.5),(F232-G232+L232-M232+N232-O232)*(1+'Retirement Planning'!$J$23/12),(F232-G232)*(1+'Retirement Planning'!$J$23/12))</f>
        <v>1398205.2911837362</v>
      </c>
      <c r="G233" s="58">
        <f ca="1">IF(AND($B$10&lt;55,B233&lt;59.5),'Retirement Planning'!$J$25,IF(OR(B233&gt;59.5,B233=59.5),MAX(0,MIN(F233,IF(D233&lt;2500,((Y233+AJ233+AA233))-X233,((Y233+AJ233+AA233)*'Retirement Planning'!$J$44)-X233))),0))</f>
        <v>8736.1087762430197</v>
      </c>
      <c r="H233" s="255">
        <f ca="1">IF(MONTH(C233)=1,IF(B233&gt;69.5,F233/(INDEX('Retirement Planning'!D$1:D$264,(160+INT(B233))))/12,0),IF(F233=0,0,H232))</f>
        <v>7824.5104958986558</v>
      </c>
      <c r="I233" s="262">
        <f t="shared" ca="1" si="85"/>
        <v>0</v>
      </c>
      <c r="J233" s="254">
        <f ca="1">IF(AND(B232&lt;59.5,OR(B233=59.5,B233&gt;59.5)),0,(J232-K232)*(1+'Retirement Planning'!$J$23/12))</f>
        <v>0</v>
      </c>
      <c r="K233" s="58">
        <f t="shared" ca="1" si="86"/>
        <v>0</v>
      </c>
      <c r="L233" s="57">
        <f>IF(AND(OR(B233&gt;59.5,B233=59.5),B232&lt;59.5),0,(L232-M232)*(1+'Retirement Planning'!$J$23/12))</f>
        <v>0</v>
      </c>
      <c r="M233" s="59">
        <f>IF(AND($B$10&lt;55,B233&lt;59.5),0,IF(B233&lt;59.5,MAX(0,MIN((($Y233+$AJ233+AA233)*'Retirement Planning'!$J$44)-$G233-$X233,L233)),0))</f>
        <v>0</v>
      </c>
      <c r="N233" s="57">
        <f ca="1">(N232-O232)*(1+'Retirement Planning'!$J$23/12)</f>
        <v>0</v>
      </c>
      <c r="O233" s="59">
        <f ca="1">IF(B233&gt;59.5,MAX(0,MIN((AA233+$Y233+$AJ233)*(IF(D233&lt;(MIN(E221:E232)+1),1,'Retirement Planning'!$J$44))-M233-$G233-$X233-(IF(D233&lt;(MIN(E221:E232)+1),D233,0)),N233)),0)</f>
        <v>0</v>
      </c>
      <c r="P233" s="57">
        <f t="shared" si="98"/>
        <v>0</v>
      </c>
      <c r="Q233" s="58">
        <f t="shared" si="99"/>
        <v>0</v>
      </c>
      <c r="R233" s="57">
        <f ca="1">(R232-S232-T232)*(1+'Retirement Planning'!$J$23/12)</f>
        <v>539882.43339747656</v>
      </c>
      <c r="S233" s="58">
        <f t="shared" ca="1" si="100"/>
        <v>808.33333333333337</v>
      </c>
      <c r="T233" s="273">
        <f t="shared" ca="1" si="87"/>
        <v>-2.2737367544323206E-13</v>
      </c>
      <c r="U233" s="57">
        <f ca="1">(U232-V232)*(1+'Retirement Planning'!$J$23/12)</f>
        <v>393377.53120720177</v>
      </c>
      <c r="V233" s="24">
        <f ca="1">IF(AND($B$10&lt;55,B233&lt;59.5),MIN(U233,MAX(0,(Y233+AA233+AJ233-G233)*'Retirement Planning'!$J$45)),IF(B233&lt;59.5,(MIN(U233,MAX(0,((Y233+AA233+AJ233)-G233-M233)*'Retirement Planning'!$J$45))),MIN(U233,MAX(0,(Y233+AA233+AJ233-G233-M233-K233-X233)*'Retirement Planning'!$J$45))))</f>
        <v>1073.5858605477033</v>
      </c>
      <c r="W233" s="7">
        <f t="shared" ca="1" si="88"/>
        <v>2807343.5835019918</v>
      </c>
      <c r="X233" s="7">
        <f>(IF(B233&gt;'Retirement Planning'!$J$34,IF('Retirement Planning'!$J$34=70,'Retirement Planning'!$J$37/12,IF('Retirement Planning'!$J$34=67,'Retirement Planning'!$J$36/12,'Retirement Planning'!$J$35/12)),0))*'Retirement Planning'!$J$38</f>
        <v>1213.6000000000001</v>
      </c>
      <c r="Y233" s="7">
        <f ca="1">'Retirement Planning'!$F$35*((1+'Retirement Planning'!$J$24)^(YEAR('Projected Retirement Drawdown'!C233)-YEAR(TODAY())))</f>
        <v>9643.2075714566599</v>
      </c>
      <c r="Z233" s="7">
        <f ca="1">G233+M233+O233+0.85*X233+V233*'Retirement Planning'!$J$46+T233</f>
        <v>10358.140999544255</v>
      </c>
      <c r="AA233" s="7">
        <f ca="1">IF(MONTH(C233)=1,(((MIN(MAX(0,((SUM(Z221:Z232)-'Retirement Planning'!$I$53-'Retirement Planning'!$I$54)-'Retirement Planning'!$J$51)*'Retirement Planning'!$I$52))))+(MIN(MAX(0,((SUM(Z221:Z232)-'Retirement Planning'!$I$53-'Retirement Planning'!$I$54)-'Retirement Planning'!$J$50)*'Retirement Planning'!$I$51),('Retirement Planning'!$J$51-'Retirement Planning'!$J$50)*'Retirement Planning'!$I$51))+(MIN(MAX(0,((SUM(Z221:Z232)-'Retirement Planning'!$I$53-'Retirement Planning'!$I$54)-'Retirement Planning'!$J$49)*'Retirement Planning'!$I$50),('Retirement Planning'!$J$50-'Retirement Planning'!$J$49)*'Retirement Planning'!$I$50)+MIN(MAX(0,((SUM(Z221:Z232)-'Retirement Planning'!$I$53-'Retirement Planning'!$I$54)-'Retirement Planning'!$J$48)*'Retirement Planning'!$I$49),('Retirement Planning'!$J$49-'Retirement Planning'!$J$48)*'Retirement Planning'!$I$49)+MIN(((SUM(Z221:Z232)-'Retirement Planning'!$I$53-'Retirement Planning'!$I$54))*'Retirement Planning'!$I$48,('Retirement Planning'!$J$48)*'Retirement Planning'!$I$48))+(IF((SUM(Z221:Z232)-'Retirement Planning'!$I$54-'Retirement Planning'!$I$61)&gt;'Retirement Planning'!$J$59,(SUM(Z221:Z232)-'Retirement Planning'!$I$54-'Retirement Planning'!$I$61-'Retirement Planning'!$J$59)*'Retirement Planning'!$I$60+'Retirement Planning'!$K$59,IF((SUM(Z221:Z232)-'Retirement Planning'!$I$54-'Retirement Planning'!$I$61)&gt;'Retirement Planning'!$J$58,(SUM(Z221:Z232)-'Retirement Planning'!$I$54-'Retirement Planning'!$I$61-'Retirement Planning'!$J$58)*'Retirement Planning'!$I$59+'Retirement Planning'!$K$58,IF((SUM(Z221:Z232)-'Retirement Planning'!$I$54-'Retirement Planning'!$I$61)&gt;'Retirement Planning'!$J$57,(SUM(Z221:Z232)-'Retirement Planning'!$I$54-'Retirement Planning'!$I$61-'Retirement Planning'!$J$57)*'Retirement Planning'!$I$58+'Retirement Planning'!$K$57,IF((SUM(Z221:Z232)-'Retirement Planning'!$I$54-'Retirement Planning'!$I$61)&gt;'Retirement Planning'!$J$56,(SUM(Z221:Z232)-'Retirement Planning'!$I$54-'Retirement Planning'!$I$61-'Retirement Planning'!$J$56)*'Retirement Planning'!$I$57+'Retirement Planning'!$K$56,(SUM(Z221:Z232)-'Retirement Planning'!$I$54-'Retirement Planning'!$I$61)*'Retirement Planning'!$I$56))))))/12,AA232)</f>
        <v>2323.7168436581796</v>
      </c>
      <c r="AB233" s="104">
        <f t="shared" ca="1" si="77"/>
        <v>0.23292393876501638</v>
      </c>
      <c r="AC233" s="7">
        <f>IF(B233&lt;65,'Retirement Planning'!$J$28,0)</f>
        <v>0</v>
      </c>
      <c r="AD233" s="7">
        <f>IF(B233&lt;65,'Retirement Planning'!$J$29/12,0)</f>
        <v>0</v>
      </c>
      <c r="AE233" s="22">
        <f>'Retirement Planning'!$J$31/12</f>
        <v>58.333333333333336</v>
      </c>
      <c r="AF233" s="22">
        <f>'Retirement Planning'!$J$32/12</f>
        <v>66.666666666666671</v>
      </c>
      <c r="AG233" s="7">
        <f>IF($B233&gt;64.9,'Retirement Planning'!$J$39/12,0)</f>
        <v>183.33333333333334</v>
      </c>
      <c r="AH233" s="7">
        <f>IF($B233&gt;64.9,'Retirement Planning'!$J$40/12,0)</f>
        <v>258.33333333333331</v>
      </c>
      <c r="AI233" s="7">
        <f>IF($B233&gt;64.9,'Retirement Planning'!$J$41/12,0)</f>
        <v>558.33333333333337</v>
      </c>
      <c r="AJ233" s="7">
        <f t="shared" ca="1" si="89"/>
        <v>316.66666666666663</v>
      </c>
      <c r="AK233" s="3" t="str">
        <f t="shared" ca="1" si="90"/>
        <v>N/A</v>
      </c>
      <c r="AL233" s="6" t="str">
        <f t="shared" ca="1" si="91"/>
        <v>N/A</v>
      </c>
      <c r="AM233" s="7">
        <f t="shared" ca="1" si="92"/>
        <v>1.1368683772161603E-12</v>
      </c>
      <c r="AN233" s="7">
        <f t="shared" ca="1" si="93"/>
        <v>13091.92441511484</v>
      </c>
      <c r="AO233" s="7">
        <f t="shared" si="94"/>
        <v>1125</v>
      </c>
    </row>
    <row r="234" spans="1:41" x14ac:dyDescent="0.2">
      <c r="A234">
        <f t="shared" si="95"/>
        <v>50</v>
      </c>
      <c r="B234" s="5">
        <f t="shared" si="96"/>
        <v>75</v>
      </c>
      <c r="C234" s="56">
        <f t="shared" si="97"/>
        <v>53236</v>
      </c>
      <c r="D234" s="57">
        <f ca="1">IF(AND(B233&lt;59.5,OR(B234&gt;59.5,B234=59.5)),(D233-E233+J233-K233)*(1+'Retirement Planning'!$J$23/12),(D233-E233)*(1+'Retirement Planning'!$J$23/12))</f>
        <v>477979.90899007255</v>
      </c>
      <c r="E234" s="58">
        <f t="shared" ca="1" si="84"/>
        <v>1260.2964449907831</v>
      </c>
      <c r="F234" s="57">
        <f ca="1">IF(AND(OR(B234&gt;59.5,B234=59.5),B233&lt;59.5),(F233-G233+L233-M233+N233-O233)*(1+'Retirement Planning'!$J$23/12),(F233-G233)*(1+'Retirement Planning'!$J$23/12))</f>
        <v>1399311.2557828797</v>
      </c>
      <c r="G234" s="58">
        <f ca="1">IF(AND($B$10&lt;55,B234&lt;59.5),'Retirement Planning'!$J$25,IF(OR(B234&gt;59.5,B234=59.5),MAX(0,MIN(F234,IF(D234&lt;2500,((Y234+AJ234+AA234))-X234,((Y234+AJ234+AA234)*'Retirement Planning'!$J$44)-X234))),0))</f>
        <v>8736.1087762430197</v>
      </c>
      <c r="H234" s="255">
        <f ca="1">IF(MONTH(C234)=1,IF(B234&gt;69.5,F234/(INDEX('Retirement Planning'!D$1:D$264,(160+INT(B234))))/12,0),IF(F234=0,0,H233))</f>
        <v>7824.5104958986558</v>
      </c>
      <c r="I234" s="262">
        <f t="shared" ca="1" si="85"/>
        <v>0</v>
      </c>
      <c r="J234" s="254">
        <f ca="1">IF(AND(B233&lt;59.5,OR(B234=59.5,B234&gt;59.5)),0,(J233-K233)*(1+'Retirement Planning'!$J$23/12))</f>
        <v>0</v>
      </c>
      <c r="K234" s="58">
        <f t="shared" ca="1" si="86"/>
        <v>0</v>
      </c>
      <c r="L234" s="57">
        <f>IF(AND(OR(B234&gt;59.5,B234=59.5),B233&lt;59.5),0,(L233-M233)*(1+'Retirement Planning'!$J$23/12))</f>
        <v>0</v>
      </c>
      <c r="M234" s="59">
        <f>IF(AND($B$10&lt;55,B234&lt;59.5),0,IF(B234&lt;59.5,MAX(0,MIN((($Y234+$AJ234+AA234)*'Retirement Planning'!$J$44)-$G234-$X234,L234)),0))</f>
        <v>0</v>
      </c>
      <c r="N234" s="57">
        <f ca="1">(N233-O233)*(1+'Retirement Planning'!$J$23/12)</f>
        <v>0</v>
      </c>
      <c r="O234" s="59">
        <f ca="1">IF(B234&gt;59.5,MAX(0,MIN((AA234+$Y234+$AJ234)*(IF(D234&lt;(MIN(E222:E233)+1),1,'Retirement Planning'!$J$44))-M234-$G234-$X234-(IF(D234&lt;(MIN(E222:E233)+1),D234,0)),N234)),0)</f>
        <v>0</v>
      </c>
      <c r="P234" s="57">
        <f t="shared" si="98"/>
        <v>0</v>
      </c>
      <c r="Q234" s="58">
        <f t="shared" si="99"/>
        <v>0</v>
      </c>
      <c r="R234" s="57">
        <f ca="1">(R233-S233-T233)*(1+'Retirement Planning'!$J$23/12)</f>
        <v>542892.54160626419</v>
      </c>
      <c r="S234" s="58">
        <f t="shared" ca="1" si="100"/>
        <v>808.33333333333337</v>
      </c>
      <c r="T234" s="273">
        <f t="shared" ca="1" si="87"/>
        <v>-2.2737367544323206E-13</v>
      </c>
      <c r="U234" s="57">
        <f ca="1">(U233-V233)*(1+'Retirement Planning'!$J$23/12)</f>
        <v>395082.76495952619</v>
      </c>
      <c r="V234" s="24">
        <f ca="1">IF(AND($B$10&lt;55,B234&lt;59.5),MIN(U234,MAX(0,(Y234+AA234+AJ234-G234)*'Retirement Planning'!$J$45)),IF(B234&lt;59.5,(MIN(U234,MAX(0,((Y234+AA234+AJ234)-G234-M234)*'Retirement Planning'!$J$45))),MIN(U234,MAX(0,(Y234+AA234+AJ234-G234-M234-K234-X234)*'Retirement Planning'!$J$45))))</f>
        <v>1073.5858605477033</v>
      </c>
      <c r="W234" s="7">
        <f t="shared" ca="1" si="88"/>
        <v>2815266.4713387424</v>
      </c>
      <c r="X234" s="7">
        <f>(IF(B234&gt;'Retirement Planning'!$J$34,IF('Retirement Planning'!$J$34=70,'Retirement Planning'!$J$37/12,IF('Retirement Planning'!$J$34=67,'Retirement Planning'!$J$36/12,'Retirement Planning'!$J$35/12)),0))*'Retirement Planning'!$J$38</f>
        <v>1213.6000000000001</v>
      </c>
      <c r="Y234" s="7">
        <f ca="1">'Retirement Planning'!$F$35*((1+'Retirement Planning'!$J$24)^(YEAR('Projected Retirement Drawdown'!C234)-YEAR(TODAY())))</f>
        <v>9643.2075714566599</v>
      </c>
      <c r="Z234" s="7">
        <f ca="1">G234+M234+O234+0.85*X234+V234*'Retirement Planning'!$J$46+T234</f>
        <v>10358.140999544255</v>
      </c>
      <c r="AA234" s="7">
        <f ca="1">IF(MONTH(C234)=1,(((MIN(MAX(0,((SUM(Z222:Z233)-'Retirement Planning'!$I$53-'Retirement Planning'!$I$54)-'Retirement Planning'!$J$51)*'Retirement Planning'!$I$52))))+(MIN(MAX(0,((SUM(Z222:Z233)-'Retirement Planning'!$I$53-'Retirement Planning'!$I$54)-'Retirement Planning'!$J$50)*'Retirement Planning'!$I$51),('Retirement Planning'!$J$51-'Retirement Planning'!$J$50)*'Retirement Planning'!$I$51))+(MIN(MAX(0,((SUM(Z222:Z233)-'Retirement Planning'!$I$53-'Retirement Planning'!$I$54)-'Retirement Planning'!$J$49)*'Retirement Planning'!$I$50),('Retirement Planning'!$J$50-'Retirement Planning'!$J$49)*'Retirement Planning'!$I$50)+MIN(MAX(0,((SUM(Z222:Z233)-'Retirement Planning'!$I$53-'Retirement Planning'!$I$54)-'Retirement Planning'!$J$48)*'Retirement Planning'!$I$49),('Retirement Planning'!$J$49-'Retirement Planning'!$J$48)*'Retirement Planning'!$I$49)+MIN(((SUM(Z222:Z233)-'Retirement Planning'!$I$53-'Retirement Planning'!$I$54))*'Retirement Planning'!$I$48,('Retirement Planning'!$J$48)*'Retirement Planning'!$I$48))+(IF((SUM(Z222:Z233)-'Retirement Planning'!$I$54-'Retirement Planning'!$I$61)&gt;'Retirement Planning'!$J$59,(SUM(Z222:Z233)-'Retirement Planning'!$I$54-'Retirement Planning'!$I$61-'Retirement Planning'!$J$59)*'Retirement Planning'!$I$60+'Retirement Planning'!$K$59,IF((SUM(Z222:Z233)-'Retirement Planning'!$I$54-'Retirement Planning'!$I$61)&gt;'Retirement Planning'!$J$58,(SUM(Z222:Z233)-'Retirement Planning'!$I$54-'Retirement Planning'!$I$61-'Retirement Planning'!$J$58)*'Retirement Planning'!$I$59+'Retirement Planning'!$K$58,IF((SUM(Z222:Z233)-'Retirement Planning'!$I$54-'Retirement Planning'!$I$61)&gt;'Retirement Planning'!$J$57,(SUM(Z222:Z233)-'Retirement Planning'!$I$54-'Retirement Planning'!$I$61-'Retirement Planning'!$J$57)*'Retirement Planning'!$I$58+'Retirement Planning'!$K$57,IF((SUM(Z222:Z233)-'Retirement Planning'!$I$54-'Retirement Planning'!$I$61)&gt;'Retirement Planning'!$J$56,(SUM(Z222:Z233)-'Retirement Planning'!$I$54-'Retirement Planning'!$I$61-'Retirement Planning'!$J$56)*'Retirement Planning'!$I$57+'Retirement Planning'!$K$56,(SUM(Z222:Z233)-'Retirement Planning'!$I$54-'Retirement Planning'!$I$61)*'Retirement Planning'!$I$56))))))/12,AA233)</f>
        <v>2323.7168436581796</v>
      </c>
      <c r="AB234" s="104">
        <f t="shared" ca="1" si="77"/>
        <v>0.23292393876501638</v>
      </c>
      <c r="AC234" s="7">
        <f>IF(B234&lt;65,'Retirement Planning'!$J$28,0)</f>
        <v>0</v>
      </c>
      <c r="AD234" s="7">
        <f>IF(B234&lt;65,'Retirement Planning'!$J$29/12,0)</f>
        <v>0</v>
      </c>
      <c r="AE234" s="22">
        <f>'Retirement Planning'!$J$31/12</f>
        <v>58.333333333333336</v>
      </c>
      <c r="AF234" s="22">
        <f>'Retirement Planning'!$J$32/12</f>
        <v>66.666666666666671</v>
      </c>
      <c r="AG234" s="7">
        <f>IF($B234&gt;64.9,'Retirement Planning'!$J$39/12,0)</f>
        <v>183.33333333333334</v>
      </c>
      <c r="AH234" s="7">
        <f>IF($B234&gt;64.9,'Retirement Planning'!$J$40/12,0)</f>
        <v>258.33333333333331</v>
      </c>
      <c r="AI234" s="7">
        <f>IF($B234&gt;64.9,'Retirement Planning'!$J$41/12,0)</f>
        <v>558.33333333333337</v>
      </c>
      <c r="AJ234" s="7">
        <f t="shared" ca="1" si="89"/>
        <v>316.66666666666663</v>
      </c>
      <c r="AK234" s="3" t="str">
        <f t="shared" ca="1" si="90"/>
        <v>N/A</v>
      </c>
      <c r="AL234" s="6" t="str">
        <f t="shared" ca="1" si="91"/>
        <v>N/A</v>
      </c>
      <c r="AM234" s="7">
        <f t="shared" ca="1" si="92"/>
        <v>1.1368683772161603E-12</v>
      </c>
      <c r="AN234" s="7">
        <f t="shared" ca="1" si="93"/>
        <v>13091.92441511484</v>
      </c>
      <c r="AO234" s="7">
        <f t="shared" si="94"/>
        <v>1125</v>
      </c>
    </row>
    <row r="235" spans="1:41" x14ac:dyDescent="0.2">
      <c r="A235">
        <f t="shared" si="95"/>
        <v>50</v>
      </c>
      <c r="B235" s="5">
        <f t="shared" si="96"/>
        <v>75</v>
      </c>
      <c r="C235" s="56">
        <f t="shared" si="97"/>
        <v>53267</v>
      </c>
      <c r="D235" s="57">
        <f ca="1">IF(AND(B234&lt;59.5,OR(B235&gt;59.5,B235=59.5)),(D234-E234+J234-K234)*(1+'Retirement Planning'!$J$23/12),(D234-E234)*(1+'Retirement Planning'!$J$23/12))</f>
        <v>480096.37646727607</v>
      </c>
      <c r="E235" s="58">
        <f t="shared" ca="1" si="84"/>
        <v>1260.2964449907831</v>
      </c>
      <c r="F235" s="57">
        <f ca="1">IF(AND(OR(B235&gt;59.5,B235=59.5),B234&lt;59.5),(F234-G234+L234-M234+N234-O234)*(1+'Retirement Planning'!$J$23/12),(F234-G234)*(1+'Retirement Planning'!$J$23/12))</f>
        <v>1400425.0542979338</v>
      </c>
      <c r="G235" s="58">
        <f ca="1">IF(AND($B$10&lt;55,B235&lt;59.5),'Retirement Planning'!$J$25,IF(OR(B235&gt;59.5,B235=59.5),MAX(0,MIN(F235,IF(D235&lt;2500,((Y235+AJ235+AA235))-X235,((Y235+AJ235+AA235)*'Retirement Planning'!$J$44)-X235))),0))</f>
        <v>8736.1087762430197</v>
      </c>
      <c r="H235" s="255">
        <f ca="1">IF(MONTH(C235)=1,IF(B235&gt;69.5,F235/(INDEX('Retirement Planning'!D$1:D$264,(160+INT(B235))))/12,0),IF(F235=0,0,H234))</f>
        <v>7824.5104958986558</v>
      </c>
      <c r="I235" s="262">
        <f t="shared" ca="1" si="85"/>
        <v>0</v>
      </c>
      <c r="J235" s="254">
        <f ca="1">IF(AND(B234&lt;59.5,OR(B235=59.5,B235&gt;59.5)),0,(J234-K234)*(1+'Retirement Planning'!$J$23/12))</f>
        <v>0</v>
      </c>
      <c r="K235" s="58">
        <f t="shared" ca="1" si="86"/>
        <v>0</v>
      </c>
      <c r="L235" s="57">
        <f>IF(AND(OR(B235&gt;59.5,B235=59.5),B234&lt;59.5),0,(L234-M234)*(1+'Retirement Planning'!$J$23/12))</f>
        <v>0</v>
      </c>
      <c r="M235" s="59">
        <f>IF(AND($B$10&lt;55,B235&lt;59.5),0,IF(B235&lt;59.5,MAX(0,MIN((($Y235+$AJ235+AA235)*'Retirement Planning'!$J$44)-$G235-$X235,L235)),0))</f>
        <v>0</v>
      </c>
      <c r="N235" s="57">
        <f ca="1">(N234-O234)*(1+'Retirement Planning'!$J$23/12)</f>
        <v>0</v>
      </c>
      <c r="O235" s="59">
        <f ca="1">IF(B235&gt;59.5,MAX(0,MIN((AA235+$Y235+$AJ235)*(IF(D235&lt;(MIN(E223:E234)+1),1,'Retirement Planning'!$J$44))-M235-$G235-$X235-(IF(D235&lt;(MIN(E223:E234)+1),D235,0)),N235)),0)</f>
        <v>0</v>
      </c>
      <c r="P235" s="57">
        <f t="shared" si="98"/>
        <v>0</v>
      </c>
      <c r="Q235" s="58">
        <f t="shared" si="99"/>
        <v>0</v>
      </c>
      <c r="R235" s="57">
        <f ca="1">(R234-S234-T234)*(1+'Retirement Planning'!$J$23/12)</f>
        <v>545923.97141486406</v>
      </c>
      <c r="S235" s="58">
        <f t="shared" ca="1" si="100"/>
        <v>808.33333333333337</v>
      </c>
      <c r="T235" s="273">
        <f t="shared" ca="1" si="87"/>
        <v>-2.2737367544323206E-13</v>
      </c>
      <c r="U235" s="57">
        <f ca="1">(U234-V234)*(1+'Retirement Planning'!$J$23/12)</f>
        <v>396800.07745092956</v>
      </c>
      <c r="V235" s="24">
        <f ca="1">IF(AND($B$10&lt;55,B235&lt;59.5),MIN(U235,MAX(0,(Y235+AA235+AJ235-G235)*'Retirement Planning'!$J$45)),IF(B235&lt;59.5,(MIN(U235,MAX(0,((Y235+AA235+AJ235)-G235-M235)*'Retirement Planning'!$J$45))),MIN(U235,MAX(0,(Y235+AA235+AJ235-G235-M235-K235-X235)*'Retirement Planning'!$J$45))))</f>
        <v>1073.5858605477033</v>
      </c>
      <c r="W235" s="7">
        <f t="shared" ca="1" si="88"/>
        <v>2823245.4796310035</v>
      </c>
      <c r="X235" s="7">
        <f>(IF(B235&gt;'Retirement Planning'!$J$34,IF('Retirement Planning'!$J$34=70,'Retirement Planning'!$J$37/12,IF('Retirement Planning'!$J$34=67,'Retirement Planning'!$J$36/12,'Retirement Planning'!$J$35/12)),0))*'Retirement Planning'!$J$38</f>
        <v>1213.6000000000001</v>
      </c>
      <c r="Y235" s="7">
        <f ca="1">'Retirement Planning'!$F$35*((1+'Retirement Planning'!$J$24)^(YEAR('Projected Retirement Drawdown'!C235)-YEAR(TODAY())))</f>
        <v>9643.2075714566599</v>
      </c>
      <c r="Z235" s="7">
        <f ca="1">G235+M235+O235+0.85*X235+V235*'Retirement Planning'!$J$46+T235</f>
        <v>10358.140999544255</v>
      </c>
      <c r="AA235" s="7">
        <f ca="1">IF(MONTH(C235)=1,(((MIN(MAX(0,((SUM(Z223:Z234)-'Retirement Planning'!$I$53-'Retirement Planning'!$I$54)-'Retirement Planning'!$J$51)*'Retirement Planning'!$I$52))))+(MIN(MAX(0,((SUM(Z223:Z234)-'Retirement Planning'!$I$53-'Retirement Planning'!$I$54)-'Retirement Planning'!$J$50)*'Retirement Planning'!$I$51),('Retirement Planning'!$J$51-'Retirement Planning'!$J$50)*'Retirement Planning'!$I$51))+(MIN(MAX(0,((SUM(Z223:Z234)-'Retirement Planning'!$I$53-'Retirement Planning'!$I$54)-'Retirement Planning'!$J$49)*'Retirement Planning'!$I$50),('Retirement Planning'!$J$50-'Retirement Planning'!$J$49)*'Retirement Planning'!$I$50)+MIN(MAX(0,((SUM(Z223:Z234)-'Retirement Planning'!$I$53-'Retirement Planning'!$I$54)-'Retirement Planning'!$J$48)*'Retirement Planning'!$I$49),('Retirement Planning'!$J$49-'Retirement Planning'!$J$48)*'Retirement Planning'!$I$49)+MIN(((SUM(Z223:Z234)-'Retirement Planning'!$I$53-'Retirement Planning'!$I$54))*'Retirement Planning'!$I$48,('Retirement Planning'!$J$48)*'Retirement Planning'!$I$48))+(IF((SUM(Z223:Z234)-'Retirement Planning'!$I$54-'Retirement Planning'!$I$61)&gt;'Retirement Planning'!$J$59,(SUM(Z223:Z234)-'Retirement Planning'!$I$54-'Retirement Planning'!$I$61-'Retirement Planning'!$J$59)*'Retirement Planning'!$I$60+'Retirement Planning'!$K$59,IF((SUM(Z223:Z234)-'Retirement Planning'!$I$54-'Retirement Planning'!$I$61)&gt;'Retirement Planning'!$J$58,(SUM(Z223:Z234)-'Retirement Planning'!$I$54-'Retirement Planning'!$I$61-'Retirement Planning'!$J$58)*'Retirement Planning'!$I$59+'Retirement Planning'!$K$58,IF((SUM(Z223:Z234)-'Retirement Planning'!$I$54-'Retirement Planning'!$I$61)&gt;'Retirement Planning'!$J$57,(SUM(Z223:Z234)-'Retirement Planning'!$I$54-'Retirement Planning'!$I$61-'Retirement Planning'!$J$57)*'Retirement Planning'!$I$58+'Retirement Planning'!$K$57,IF((SUM(Z223:Z234)-'Retirement Planning'!$I$54-'Retirement Planning'!$I$61)&gt;'Retirement Planning'!$J$56,(SUM(Z223:Z234)-'Retirement Planning'!$I$54-'Retirement Planning'!$I$61-'Retirement Planning'!$J$56)*'Retirement Planning'!$I$57+'Retirement Planning'!$K$56,(SUM(Z223:Z234)-'Retirement Planning'!$I$54-'Retirement Planning'!$I$61)*'Retirement Planning'!$I$56))))))/12,AA234)</f>
        <v>2323.7168436581796</v>
      </c>
      <c r="AB235" s="104">
        <f t="shared" ca="1" si="77"/>
        <v>0.23292393876501638</v>
      </c>
      <c r="AC235" s="7">
        <f>IF(B235&lt;65,'Retirement Planning'!$J$28,0)</f>
        <v>0</v>
      </c>
      <c r="AD235" s="7">
        <f>IF(B235&lt;65,'Retirement Planning'!$J$29/12,0)</f>
        <v>0</v>
      </c>
      <c r="AE235" s="22">
        <f>'Retirement Planning'!$J$31/12</f>
        <v>58.333333333333336</v>
      </c>
      <c r="AF235" s="22">
        <f>'Retirement Planning'!$J$32/12</f>
        <v>66.666666666666671</v>
      </c>
      <c r="AG235" s="7">
        <f>IF($B235&gt;64.9,'Retirement Planning'!$J$39/12,0)</f>
        <v>183.33333333333334</v>
      </c>
      <c r="AH235" s="7">
        <f>IF($B235&gt;64.9,'Retirement Planning'!$J$40/12,0)</f>
        <v>258.33333333333331</v>
      </c>
      <c r="AI235" s="7">
        <f>IF($B235&gt;64.9,'Retirement Planning'!$J$41/12,0)</f>
        <v>558.33333333333337</v>
      </c>
      <c r="AJ235" s="7">
        <f t="shared" ca="1" si="89"/>
        <v>316.66666666666663</v>
      </c>
      <c r="AK235" s="3" t="str">
        <f t="shared" ca="1" si="90"/>
        <v>N/A</v>
      </c>
      <c r="AL235" s="6" t="str">
        <f t="shared" ca="1" si="91"/>
        <v>N/A</v>
      </c>
      <c r="AM235" s="7">
        <f t="shared" ca="1" si="92"/>
        <v>1.1368683772161603E-12</v>
      </c>
      <c r="AN235" s="7">
        <f t="shared" ca="1" si="93"/>
        <v>13091.92441511484</v>
      </c>
      <c r="AO235" s="7">
        <f t="shared" si="94"/>
        <v>1125</v>
      </c>
    </row>
    <row r="236" spans="1:41" x14ac:dyDescent="0.2">
      <c r="A236">
        <f t="shared" si="95"/>
        <v>50</v>
      </c>
      <c r="B236" s="5">
        <f t="shared" si="96"/>
        <v>75.099999999999994</v>
      </c>
      <c r="C236" s="56">
        <f t="shared" si="97"/>
        <v>53297</v>
      </c>
      <c r="D236" s="57">
        <f ca="1">IF(AND(B235&lt;59.5,OR(B236&gt;59.5,B236=59.5)),(D235-E235+J235-K235)*(1+'Retirement Planning'!$J$23/12),(D235-E235)*(1+'Retirement Planning'!$J$23/12))</f>
        <v>482227.8355891098</v>
      </c>
      <c r="E236" s="58">
        <f t="shared" ca="1" si="84"/>
        <v>1260.2964449907831</v>
      </c>
      <c r="F236" s="57">
        <f ca="1">IF(AND(OR(B236&gt;59.5,B236=59.5),B235&lt;59.5),(F235-G235+L235-M235+N235-O235)*(1+'Retirement Planning'!$J$23/12),(F235-G235)*(1+'Retirement Planning'!$J$23/12))</f>
        <v>1401546.7422191361</v>
      </c>
      <c r="G236" s="58">
        <f ca="1">IF(AND($B$10&lt;55,B236&lt;59.5),'Retirement Planning'!$J$25,IF(OR(B236&gt;59.5,B236=59.5),MAX(0,MIN(F236,IF(D236&lt;2500,((Y236+AJ236+AA236))-X236,((Y236+AJ236+AA236)*'Retirement Planning'!$J$44)-X236))),0))</f>
        <v>8736.1087762430197</v>
      </c>
      <c r="H236" s="255">
        <f ca="1">IF(MONTH(C236)=1,IF(B236&gt;69.5,F236/(INDEX('Retirement Planning'!D$1:D$264,(160+INT(B236))))/12,0),IF(F236=0,0,H235))</f>
        <v>7824.5104958986558</v>
      </c>
      <c r="I236" s="262">
        <f t="shared" ca="1" si="85"/>
        <v>0</v>
      </c>
      <c r="J236" s="254">
        <f ca="1">IF(AND(B235&lt;59.5,OR(B236=59.5,B236&gt;59.5)),0,(J235-K235)*(1+'Retirement Planning'!$J$23/12))</f>
        <v>0</v>
      </c>
      <c r="K236" s="58">
        <f t="shared" ca="1" si="86"/>
        <v>0</v>
      </c>
      <c r="L236" s="57">
        <f>IF(AND(OR(B236&gt;59.5,B236=59.5),B235&lt;59.5),0,(L235-M235)*(1+'Retirement Planning'!$J$23/12))</f>
        <v>0</v>
      </c>
      <c r="M236" s="59">
        <f>IF(AND($B$10&lt;55,B236&lt;59.5),0,IF(B236&lt;59.5,MAX(0,MIN((($Y236+$AJ236+AA236)*'Retirement Planning'!$J$44)-$G236-$X236,L236)),0))</f>
        <v>0</v>
      </c>
      <c r="N236" s="57">
        <f ca="1">(N235-O235)*(1+'Retirement Planning'!$J$23/12)</f>
        <v>0</v>
      </c>
      <c r="O236" s="59">
        <f ca="1">IF(B236&gt;59.5,MAX(0,MIN((AA236+$Y236+$AJ236)*(IF(D236&lt;(MIN(E224:E235)+1),1,'Retirement Planning'!$J$44))-M236-$G236-$X236-(IF(D236&lt;(MIN(E224:E235)+1),D236,0)),N236)),0)</f>
        <v>0</v>
      </c>
      <c r="P236" s="57">
        <f t="shared" si="98"/>
        <v>0</v>
      </c>
      <c r="Q236" s="58">
        <f t="shared" si="99"/>
        <v>0</v>
      </c>
      <c r="R236" s="57">
        <f ca="1">(R235-S235-T235)*(1+'Retirement Planning'!$J$23/12)</f>
        <v>548976.87385127484</v>
      </c>
      <c r="S236" s="58">
        <f t="shared" ca="1" si="100"/>
        <v>808.33333333333337</v>
      </c>
      <c r="T236" s="273">
        <f t="shared" ca="1" si="87"/>
        <v>-2.2737367544323206E-13</v>
      </c>
      <c r="U236" s="57">
        <f ca="1">(U235-V235)*(1+'Retirement Planning'!$J$23/12)</f>
        <v>398529.55423914705</v>
      </c>
      <c r="V236" s="24">
        <f ca="1">IF(AND($B$10&lt;55,B236&lt;59.5),MIN(U236,MAX(0,(Y236+AA236+AJ236-G236)*'Retirement Planning'!$J$45)),IF(B236&lt;59.5,(MIN(U236,MAX(0,((Y236+AA236+AJ236)-G236-M236)*'Retirement Planning'!$J$45))),MIN(U236,MAX(0,(Y236+AA236+AJ236-G236-M236-K236-X236)*'Retirement Planning'!$J$45))))</f>
        <v>1073.5858605477033</v>
      </c>
      <c r="W236" s="7">
        <f t="shared" ca="1" si="88"/>
        <v>2831281.005898668</v>
      </c>
      <c r="X236" s="7">
        <f>(IF(B236&gt;'Retirement Planning'!$J$34,IF('Retirement Planning'!$J$34=70,'Retirement Planning'!$J$37/12,IF('Retirement Planning'!$J$34=67,'Retirement Planning'!$J$36/12,'Retirement Planning'!$J$35/12)),0))*'Retirement Planning'!$J$38</f>
        <v>1213.6000000000001</v>
      </c>
      <c r="Y236" s="7">
        <f ca="1">'Retirement Planning'!$F$35*((1+'Retirement Planning'!$J$24)^(YEAR('Projected Retirement Drawdown'!C236)-YEAR(TODAY())))</f>
        <v>9643.2075714566599</v>
      </c>
      <c r="Z236" s="7">
        <f ca="1">G236+M236+O236+0.85*X236+V236*'Retirement Planning'!$J$46+T236</f>
        <v>10358.140999544255</v>
      </c>
      <c r="AA236" s="7">
        <f ca="1">IF(MONTH(C236)=1,(((MIN(MAX(0,((SUM(Z224:Z235)-'Retirement Planning'!$I$53-'Retirement Planning'!$I$54)-'Retirement Planning'!$J$51)*'Retirement Planning'!$I$52))))+(MIN(MAX(0,((SUM(Z224:Z235)-'Retirement Planning'!$I$53-'Retirement Planning'!$I$54)-'Retirement Planning'!$J$50)*'Retirement Planning'!$I$51),('Retirement Planning'!$J$51-'Retirement Planning'!$J$50)*'Retirement Planning'!$I$51))+(MIN(MAX(0,((SUM(Z224:Z235)-'Retirement Planning'!$I$53-'Retirement Planning'!$I$54)-'Retirement Planning'!$J$49)*'Retirement Planning'!$I$50),('Retirement Planning'!$J$50-'Retirement Planning'!$J$49)*'Retirement Planning'!$I$50)+MIN(MAX(0,((SUM(Z224:Z235)-'Retirement Planning'!$I$53-'Retirement Planning'!$I$54)-'Retirement Planning'!$J$48)*'Retirement Planning'!$I$49),('Retirement Planning'!$J$49-'Retirement Planning'!$J$48)*'Retirement Planning'!$I$49)+MIN(((SUM(Z224:Z235)-'Retirement Planning'!$I$53-'Retirement Planning'!$I$54))*'Retirement Planning'!$I$48,('Retirement Planning'!$J$48)*'Retirement Planning'!$I$48))+(IF((SUM(Z224:Z235)-'Retirement Planning'!$I$54-'Retirement Planning'!$I$61)&gt;'Retirement Planning'!$J$59,(SUM(Z224:Z235)-'Retirement Planning'!$I$54-'Retirement Planning'!$I$61-'Retirement Planning'!$J$59)*'Retirement Planning'!$I$60+'Retirement Planning'!$K$59,IF((SUM(Z224:Z235)-'Retirement Planning'!$I$54-'Retirement Planning'!$I$61)&gt;'Retirement Planning'!$J$58,(SUM(Z224:Z235)-'Retirement Planning'!$I$54-'Retirement Planning'!$I$61-'Retirement Planning'!$J$58)*'Retirement Planning'!$I$59+'Retirement Planning'!$K$58,IF((SUM(Z224:Z235)-'Retirement Planning'!$I$54-'Retirement Planning'!$I$61)&gt;'Retirement Planning'!$J$57,(SUM(Z224:Z235)-'Retirement Planning'!$I$54-'Retirement Planning'!$I$61-'Retirement Planning'!$J$57)*'Retirement Planning'!$I$58+'Retirement Planning'!$K$57,IF((SUM(Z224:Z235)-'Retirement Planning'!$I$54-'Retirement Planning'!$I$61)&gt;'Retirement Planning'!$J$56,(SUM(Z224:Z235)-'Retirement Planning'!$I$54-'Retirement Planning'!$I$61-'Retirement Planning'!$J$56)*'Retirement Planning'!$I$57+'Retirement Planning'!$K$56,(SUM(Z224:Z235)-'Retirement Planning'!$I$54-'Retirement Planning'!$I$61)*'Retirement Planning'!$I$56))))))/12,AA235)</f>
        <v>2323.7168436581796</v>
      </c>
      <c r="AB236" s="104">
        <f t="shared" ca="1" si="77"/>
        <v>0.23292393876501638</v>
      </c>
      <c r="AC236" s="7">
        <f>IF(B236&lt;65,'Retirement Planning'!$J$28,0)</f>
        <v>0</v>
      </c>
      <c r="AD236" s="7">
        <f>IF(B236&lt;65,'Retirement Planning'!$J$29/12,0)</f>
        <v>0</v>
      </c>
      <c r="AE236" s="22">
        <f>'Retirement Planning'!$J$31/12</f>
        <v>58.333333333333336</v>
      </c>
      <c r="AF236" s="22">
        <f>'Retirement Planning'!$J$32/12</f>
        <v>66.666666666666671</v>
      </c>
      <c r="AG236" s="7">
        <f>IF($B236&gt;64.9,'Retirement Planning'!$J$39/12,0)</f>
        <v>183.33333333333334</v>
      </c>
      <c r="AH236" s="7">
        <f>IF($B236&gt;64.9,'Retirement Planning'!$J$40/12,0)</f>
        <v>258.33333333333331</v>
      </c>
      <c r="AI236" s="7">
        <f>IF($B236&gt;64.9,'Retirement Planning'!$J$41/12,0)</f>
        <v>558.33333333333337</v>
      </c>
      <c r="AJ236" s="7">
        <f t="shared" ca="1" si="89"/>
        <v>316.66666666666663</v>
      </c>
      <c r="AK236" s="3" t="str">
        <f t="shared" ca="1" si="90"/>
        <v>N/A</v>
      </c>
      <c r="AL236" s="6" t="str">
        <f t="shared" ca="1" si="91"/>
        <v>N/A</v>
      </c>
      <c r="AM236" s="7">
        <f t="shared" ca="1" si="92"/>
        <v>1.1368683772161603E-12</v>
      </c>
      <c r="AN236" s="7">
        <f t="shared" ca="1" si="93"/>
        <v>13091.92441511484</v>
      </c>
      <c r="AO236" s="7">
        <f t="shared" si="94"/>
        <v>1125</v>
      </c>
    </row>
    <row r="237" spans="1:41" x14ac:dyDescent="0.2">
      <c r="A237">
        <f t="shared" si="95"/>
        <v>50</v>
      </c>
      <c r="B237" s="5">
        <f t="shared" si="96"/>
        <v>75.2</v>
      </c>
      <c r="C237" s="56">
        <f t="shared" si="97"/>
        <v>53328</v>
      </c>
      <c r="D237" s="57">
        <f ca="1">IF(AND(B236&lt;59.5,OR(B237&gt;59.5,B237=59.5)),(D236-E236+J236-K236)*(1+'Retirement Planning'!$J$23/12),(D236-E236)*(1+'Retirement Planning'!$J$23/12))</f>
        <v>484374.39254638983</v>
      </c>
      <c r="E237" s="58">
        <f t="shared" ca="1" si="84"/>
        <v>1307.5561506573176</v>
      </c>
      <c r="F237" s="57">
        <f ca="1">IF(AND(OR(B237&gt;59.5,B237=59.5),B236&lt;59.5),(F236-G236+L236-M236+N236-O236)*(1+'Retirement Planning'!$J$23/12),(F236-G236)*(1+'Retirement Planning'!$J$23/12))</f>
        <v>1402676.3754297802</v>
      </c>
      <c r="G237" s="58">
        <f ca="1">IF(AND($B$10&lt;55,B237&lt;59.5),'Retirement Planning'!$J$25,IF(OR(B237&gt;59.5,B237=59.5),MAX(0,MIN(F237,IF(D237&lt;2500,((Y237+AJ237+AA237))-X237,((Y237+AJ237+AA237)*'Retirement Planning'!$J$44)-X237))),0))</f>
        <v>9109.2117157156736</v>
      </c>
      <c r="H237" s="255">
        <f ca="1">IF(MONTH(C237)=1,IF(B237&gt;69.5,F237/(INDEX('Retirement Planning'!D$1:D$264,(160+INT(B237))))/12,0),IF(F237=0,0,H236))</f>
        <v>8290.0495001760064</v>
      </c>
      <c r="I237" s="262">
        <f t="shared" ca="1" si="85"/>
        <v>0</v>
      </c>
      <c r="J237" s="254">
        <f ca="1">IF(AND(B236&lt;59.5,OR(B237=59.5,B237&gt;59.5)),0,(J236-K236)*(1+'Retirement Planning'!$J$23/12))</f>
        <v>0</v>
      </c>
      <c r="K237" s="58">
        <f t="shared" ca="1" si="86"/>
        <v>0</v>
      </c>
      <c r="L237" s="57">
        <f>IF(AND(OR(B237&gt;59.5,B237=59.5),B236&lt;59.5),0,(L236-M236)*(1+'Retirement Planning'!$J$23/12))</f>
        <v>0</v>
      </c>
      <c r="M237" s="59">
        <f>IF(AND($B$10&lt;55,B237&lt;59.5),0,IF(B237&lt;59.5,MAX(0,MIN((($Y237+$AJ237+AA237)*'Retirement Planning'!$J$44)-$G237-$X237,L237)),0))</f>
        <v>0</v>
      </c>
      <c r="N237" s="57">
        <f ca="1">(N236-O236)*(1+'Retirement Planning'!$J$23/12)</f>
        <v>0</v>
      </c>
      <c r="O237" s="59">
        <f ca="1">IF(B237&gt;59.5,MAX(0,MIN((AA237+$Y237+$AJ237)*(IF(D237&lt;(MIN(E225:E236)+1),1,'Retirement Planning'!$J$44))-M237-$G237-$X237-(IF(D237&lt;(MIN(E225:E236)+1),D237,0)),N237)),0)</f>
        <v>0</v>
      </c>
      <c r="P237" s="57">
        <f t="shared" si="98"/>
        <v>0</v>
      </c>
      <c r="Q237" s="58">
        <f t="shared" si="99"/>
        <v>0</v>
      </c>
      <c r="R237" s="57">
        <f ca="1">(R236-S236-T236)*(1+'Retirement Planning'!$J$23/12)</f>
        <v>552051.40101327689</v>
      </c>
      <c r="S237" s="58">
        <f t="shared" ca="1" si="100"/>
        <v>808.33333333333337</v>
      </c>
      <c r="T237" s="273">
        <f t="shared" ca="1" si="87"/>
        <v>1.1368683772161603E-12</v>
      </c>
      <c r="U237" s="57">
        <f ca="1">(U236-V236)*(1+'Retirement Planning'!$J$23/12)</f>
        <v>400271.28148794774</v>
      </c>
      <c r="V237" s="24">
        <f ca="1">IF(AND($B$10&lt;55,B237&lt;59.5),MIN(U237,MAX(0,(Y237+AA237+AJ237-G237)*'Retirement Planning'!$J$45)),IF(B237&lt;59.5,(MIN(U237,MAX(0,((Y237+AA237+AJ237)-G237-M237)*'Retirement Planning'!$J$45))),MIN(U237,MAX(0,(Y237+AA237+AJ237-G237-M237-K237-X237)*'Retirement Planning'!$J$45))))</f>
        <v>1113.8441283377156</v>
      </c>
      <c r="W237" s="7">
        <f t="shared" ca="1" si="88"/>
        <v>2839373.4504773947</v>
      </c>
      <c r="X237" s="7">
        <f>(IF(B237&gt;'Retirement Planning'!$J$34,IF('Retirement Planning'!$J$34=70,'Retirement Planning'!$J$37/12,IF('Retirement Planning'!$J$34=67,'Retirement Planning'!$J$36/12,'Retirement Planning'!$J$35/12)),0))*'Retirement Planning'!$J$38</f>
        <v>1213.6000000000001</v>
      </c>
      <c r="Y237" s="7">
        <f ca="1">'Retirement Planning'!$F$35*((1+'Retirement Planning'!$J$24)^(YEAR('Projected Retirement Drawdown'!C237)-YEAR(TODAY())))</f>
        <v>9980.7198364576416</v>
      </c>
      <c r="Z237" s="7">
        <f ca="1">G237+M237+O237+0.85*X237+V237*'Retirement Planning'!$J$46+T237</f>
        <v>10753.385986301419</v>
      </c>
      <c r="AA237" s="7">
        <f ca="1">IF(MONTH(C237)=1,(((MIN(MAX(0,((SUM(Z225:Z236)-'Retirement Planning'!$I$53-'Retirement Planning'!$I$54)-'Retirement Planning'!$J$51)*'Retirement Planning'!$I$52))))+(MIN(MAX(0,((SUM(Z225:Z236)-'Retirement Planning'!$I$53-'Retirement Planning'!$I$54)-'Retirement Planning'!$J$50)*'Retirement Planning'!$I$51),('Retirement Planning'!$J$51-'Retirement Planning'!$J$50)*'Retirement Planning'!$I$51))+(MIN(MAX(0,((SUM(Z225:Z236)-'Retirement Planning'!$I$53-'Retirement Planning'!$I$54)-'Retirement Planning'!$J$49)*'Retirement Planning'!$I$50),('Retirement Planning'!$J$50-'Retirement Planning'!$J$49)*'Retirement Planning'!$I$50)+MIN(MAX(0,((SUM(Z225:Z236)-'Retirement Planning'!$I$53-'Retirement Planning'!$I$54)-'Retirement Planning'!$J$48)*'Retirement Planning'!$I$49),('Retirement Planning'!$J$49-'Retirement Planning'!$J$48)*'Retirement Planning'!$I$49)+MIN(((SUM(Z225:Z236)-'Retirement Planning'!$I$53-'Retirement Planning'!$I$54))*'Retirement Planning'!$I$48,('Retirement Planning'!$J$48)*'Retirement Planning'!$I$48))+(IF((SUM(Z225:Z236)-'Retirement Planning'!$I$54-'Retirement Planning'!$I$61)&gt;'Retirement Planning'!$J$59,(SUM(Z225:Z236)-'Retirement Planning'!$I$54-'Retirement Planning'!$I$61-'Retirement Planning'!$J$59)*'Retirement Planning'!$I$60+'Retirement Planning'!$K$59,IF((SUM(Z225:Z236)-'Retirement Planning'!$I$54-'Retirement Planning'!$I$61)&gt;'Retirement Planning'!$J$58,(SUM(Z225:Z236)-'Retirement Planning'!$I$54-'Retirement Planning'!$I$61-'Retirement Planning'!$J$58)*'Retirement Planning'!$I$59+'Retirement Planning'!$K$58,IF((SUM(Z225:Z236)-'Retirement Planning'!$I$54-'Retirement Planning'!$I$61)&gt;'Retirement Planning'!$J$57,(SUM(Z225:Z236)-'Retirement Planning'!$I$54-'Retirement Planning'!$I$61-'Retirement Planning'!$J$57)*'Retirement Planning'!$I$58+'Retirement Planning'!$K$57,IF((SUM(Z225:Z236)-'Retirement Planning'!$I$54-'Retirement Planning'!$I$61)&gt;'Retirement Planning'!$J$56,(SUM(Z225:Z236)-'Retirement Planning'!$I$54-'Retirement Planning'!$I$61-'Retirement Planning'!$J$56)*'Retirement Planning'!$I$57+'Retirement Planning'!$K$56,(SUM(Z225:Z236)-'Retirement Planning'!$I$54-'Retirement Planning'!$I$61)*'Retirement Planning'!$I$56))))))/12,AA236)</f>
        <v>2446.8254915864004</v>
      </c>
      <c r="AB237" s="104">
        <f t="shared" ref="AB237" ca="1" si="105">SUM(AA237:AA248)/SUM(Z225:Z236)</f>
        <v>0.23622245455956417</v>
      </c>
      <c r="AC237" s="7">
        <f>IF(B237&lt;65,'Retirement Planning'!$J$28,0)</f>
        <v>0</v>
      </c>
      <c r="AD237" s="7">
        <f>IF(B237&lt;65,'Retirement Planning'!$J$29/12,0)</f>
        <v>0</v>
      </c>
      <c r="AE237" s="22">
        <f>'Retirement Planning'!$J$31/12</f>
        <v>58.333333333333336</v>
      </c>
      <c r="AF237" s="22">
        <f>'Retirement Planning'!$J$32/12</f>
        <v>66.666666666666671</v>
      </c>
      <c r="AG237" s="7">
        <f>IF($B237&gt;64.9,'Retirement Planning'!$J$39/12,0)</f>
        <v>183.33333333333334</v>
      </c>
      <c r="AH237" s="7">
        <f>IF($B237&gt;64.9,'Retirement Planning'!$J$40/12,0)</f>
        <v>258.33333333333331</v>
      </c>
      <c r="AI237" s="7">
        <f>IF($B237&gt;64.9,'Retirement Planning'!$J$41/12,0)</f>
        <v>558.33333333333337</v>
      </c>
      <c r="AJ237" s="7">
        <f t="shared" ca="1" si="89"/>
        <v>316.66666666666663</v>
      </c>
      <c r="AK237" s="3" t="str">
        <f t="shared" ca="1" si="90"/>
        <v>N/A</v>
      </c>
      <c r="AL237" s="6" t="str">
        <f t="shared" ca="1" si="91"/>
        <v>N/A</v>
      </c>
      <c r="AM237" s="7">
        <f t="shared" ca="1" si="92"/>
        <v>1.1368683772161603E-12</v>
      </c>
      <c r="AN237" s="7">
        <f t="shared" ca="1" si="93"/>
        <v>13552.545328044042</v>
      </c>
      <c r="AO237" s="7">
        <f t="shared" si="94"/>
        <v>1125</v>
      </c>
    </row>
    <row r="238" spans="1:41" x14ac:dyDescent="0.2">
      <c r="A238">
        <f t="shared" si="95"/>
        <v>50</v>
      </c>
      <c r="B238" s="5">
        <f t="shared" si="96"/>
        <v>75.3</v>
      </c>
      <c r="C238" s="56">
        <f t="shared" si="97"/>
        <v>53359</v>
      </c>
      <c r="D238" s="57">
        <f ca="1">IF(AND(B237&lt;59.5,OR(B238&gt;59.5,B238=59.5)),(D237-E237+J237-K237)*(1+'Retirement Planning'!$J$23/12),(D237-E237)*(1+'Retirement Planning'!$J$23/12))</f>
        <v>486488.5598202023</v>
      </c>
      <c r="E238" s="58">
        <f t="shared" ca="1" si="84"/>
        <v>1307.5561506573176</v>
      </c>
      <c r="F238" s="57">
        <f ca="1">IF(AND(OR(B238&gt;59.5,B238=59.5),B237&lt;59.5),(F237-G237+L237-M237+N237-O237)*(1+'Retirement Planning'!$J$23/12),(F237-G237)*(1+'Retirement Planning'!$J$23/12))</f>
        <v>1403438.2644570391</v>
      </c>
      <c r="G238" s="58">
        <f ca="1">IF(AND($B$10&lt;55,B238&lt;59.5),'Retirement Planning'!$J$25,IF(OR(B238&gt;59.5,B238=59.5),MAX(0,MIN(F238,IF(D238&lt;2500,((Y238+AJ238+AA238))-X238,((Y238+AJ238+AA238)*'Retirement Planning'!$J$44)-X238))),0))</f>
        <v>9109.2117157156736</v>
      </c>
      <c r="H238" s="255">
        <f ca="1">IF(MONTH(C238)=1,IF(B238&gt;69.5,F238/(INDEX('Retirement Planning'!D$1:D$264,(160+INT(B238))))/12,0),IF(F238=0,0,H237))</f>
        <v>8290.0495001760064</v>
      </c>
      <c r="I238" s="262">
        <f t="shared" ca="1" si="85"/>
        <v>0</v>
      </c>
      <c r="J238" s="254">
        <f ca="1">IF(AND(B237&lt;59.5,OR(B238=59.5,B238&gt;59.5)),0,(J237-K237)*(1+'Retirement Planning'!$J$23/12))</f>
        <v>0</v>
      </c>
      <c r="K238" s="58">
        <f t="shared" ca="1" si="86"/>
        <v>0</v>
      </c>
      <c r="L238" s="57">
        <f>IF(AND(OR(B238&gt;59.5,B238=59.5),B237&lt;59.5),0,(L237-M237)*(1+'Retirement Planning'!$J$23/12))</f>
        <v>0</v>
      </c>
      <c r="M238" s="59">
        <f>IF(AND($B$10&lt;55,B238&lt;59.5),0,IF(B238&lt;59.5,MAX(0,MIN((($Y238+$AJ238+AA238)*'Retirement Planning'!$J$44)-$G238-$X238,L238)),0))</f>
        <v>0</v>
      </c>
      <c r="N238" s="57">
        <f ca="1">(N237-O237)*(1+'Retirement Planning'!$J$23/12)</f>
        <v>0</v>
      </c>
      <c r="O238" s="59">
        <f ca="1">IF(B238&gt;59.5,MAX(0,MIN((AA238+$Y238+$AJ238)*(IF(D238&lt;(MIN(E226:E237)+1),1,'Retirement Planning'!$J$44))-M238-$G238-$X238-(IF(D238&lt;(MIN(E226:E237)+1),D238,0)),N238)),0)</f>
        <v>0</v>
      </c>
      <c r="P238" s="57">
        <f t="shared" si="98"/>
        <v>0</v>
      </c>
      <c r="Q238" s="58">
        <f t="shared" si="99"/>
        <v>0</v>
      </c>
      <c r="R238" s="57">
        <f ca="1">(R237-S237-T237)*(1+'Retirement Planning'!$J$23/12)</f>
        <v>555147.70607600978</v>
      </c>
      <c r="S238" s="58">
        <f t="shared" ca="1" si="100"/>
        <v>808.33333333333337</v>
      </c>
      <c r="T238" s="273">
        <f t="shared" ca="1" si="87"/>
        <v>1.1368683772161603E-12</v>
      </c>
      <c r="U238" s="57">
        <f ca="1">(U237-V237)*(1+'Retirement Planning'!$J$23/12)</f>
        <v>401984.80254090729</v>
      </c>
      <c r="V238" s="24">
        <f ca="1">IF(AND($B$10&lt;55,B238&lt;59.5),MIN(U238,MAX(0,(Y238+AA238+AJ238-G238)*'Retirement Planning'!$J$45)),IF(B238&lt;59.5,(MIN(U238,MAX(0,((Y238+AA238+AJ238)-G238-M238)*'Retirement Planning'!$J$45))),MIN(U238,MAX(0,(Y238+AA238+AJ238-G238-M238-K238-X238)*'Retirement Planning'!$J$45))))</f>
        <v>1113.8441283377156</v>
      </c>
      <c r="W238" s="7">
        <f t="shared" ca="1" si="88"/>
        <v>2847059.3328941581</v>
      </c>
      <c r="X238" s="7">
        <f>(IF(B238&gt;'Retirement Planning'!$J$34,IF('Retirement Planning'!$J$34=70,'Retirement Planning'!$J$37/12,IF('Retirement Planning'!$J$34=67,'Retirement Planning'!$J$36/12,'Retirement Planning'!$J$35/12)),0))*'Retirement Planning'!$J$38</f>
        <v>1213.6000000000001</v>
      </c>
      <c r="Y238" s="7">
        <f ca="1">'Retirement Planning'!$F$35*((1+'Retirement Planning'!$J$24)^(YEAR('Projected Retirement Drawdown'!C238)-YEAR(TODAY())))</f>
        <v>9980.7198364576416</v>
      </c>
      <c r="Z238" s="7">
        <f ca="1">G238+M238+O238+0.85*X238+V238*'Retirement Planning'!$J$46+T238</f>
        <v>10753.385986301419</v>
      </c>
      <c r="AA238" s="7">
        <f ca="1">IF(MONTH(C238)=1,(((MIN(MAX(0,((SUM(Z226:Z237)-'Retirement Planning'!$I$53-'Retirement Planning'!$I$54)-'Retirement Planning'!$J$51)*'Retirement Planning'!$I$52))))+(MIN(MAX(0,((SUM(Z226:Z237)-'Retirement Planning'!$I$53-'Retirement Planning'!$I$54)-'Retirement Planning'!$J$50)*'Retirement Planning'!$I$51),('Retirement Planning'!$J$51-'Retirement Planning'!$J$50)*'Retirement Planning'!$I$51))+(MIN(MAX(0,((SUM(Z226:Z237)-'Retirement Planning'!$I$53-'Retirement Planning'!$I$54)-'Retirement Planning'!$J$49)*'Retirement Planning'!$I$50),('Retirement Planning'!$J$50-'Retirement Planning'!$J$49)*'Retirement Planning'!$I$50)+MIN(MAX(0,((SUM(Z226:Z237)-'Retirement Planning'!$I$53-'Retirement Planning'!$I$54)-'Retirement Planning'!$J$48)*'Retirement Planning'!$I$49),('Retirement Planning'!$J$49-'Retirement Planning'!$J$48)*'Retirement Planning'!$I$49)+MIN(((SUM(Z226:Z237)-'Retirement Planning'!$I$53-'Retirement Planning'!$I$54))*'Retirement Planning'!$I$48,('Retirement Planning'!$J$48)*'Retirement Planning'!$I$48))+(IF((SUM(Z226:Z237)-'Retirement Planning'!$I$54-'Retirement Planning'!$I$61)&gt;'Retirement Planning'!$J$59,(SUM(Z226:Z237)-'Retirement Planning'!$I$54-'Retirement Planning'!$I$61-'Retirement Planning'!$J$59)*'Retirement Planning'!$I$60+'Retirement Planning'!$K$59,IF((SUM(Z226:Z237)-'Retirement Planning'!$I$54-'Retirement Planning'!$I$61)&gt;'Retirement Planning'!$J$58,(SUM(Z226:Z237)-'Retirement Planning'!$I$54-'Retirement Planning'!$I$61-'Retirement Planning'!$J$58)*'Retirement Planning'!$I$59+'Retirement Planning'!$K$58,IF((SUM(Z226:Z237)-'Retirement Planning'!$I$54-'Retirement Planning'!$I$61)&gt;'Retirement Planning'!$J$57,(SUM(Z226:Z237)-'Retirement Planning'!$I$54-'Retirement Planning'!$I$61-'Retirement Planning'!$J$57)*'Retirement Planning'!$I$58+'Retirement Planning'!$K$57,IF((SUM(Z226:Z237)-'Retirement Planning'!$I$54-'Retirement Planning'!$I$61)&gt;'Retirement Planning'!$J$56,(SUM(Z226:Z237)-'Retirement Planning'!$I$54-'Retirement Planning'!$I$61-'Retirement Planning'!$J$56)*'Retirement Planning'!$I$57+'Retirement Planning'!$K$56,(SUM(Z226:Z237)-'Retirement Planning'!$I$54-'Retirement Planning'!$I$61)*'Retirement Planning'!$I$56))))))/12,AA237)</f>
        <v>2446.8254915864004</v>
      </c>
      <c r="AB238" s="104">
        <f t="shared" ref="AB238:AB301" ca="1" si="106">AB237</f>
        <v>0.23622245455956417</v>
      </c>
      <c r="AC238" s="7">
        <f>IF(B238&lt;65,'Retirement Planning'!$J$28,0)</f>
        <v>0</v>
      </c>
      <c r="AD238" s="7">
        <f>IF(B238&lt;65,'Retirement Planning'!$J$29/12,0)</f>
        <v>0</v>
      </c>
      <c r="AE238" s="22">
        <f>'Retirement Planning'!$J$31/12</f>
        <v>58.333333333333336</v>
      </c>
      <c r="AF238" s="22">
        <f>'Retirement Planning'!$J$32/12</f>
        <v>66.666666666666671</v>
      </c>
      <c r="AG238" s="7">
        <f>IF($B238&gt;64.9,'Retirement Planning'!$J$39/12,0)</f>
        <v>183.33333333333334</v>
      </c>
      <c r="AH238" s="7">
        <f>IF($B238&gt;64.9,'Retirement Planning'!$J$40/12,0)</f>
        <v>258.33333333333331</v>
      </c>
      <c r="AI238" s="7">
        <f>IF($B238&gt;64.9,'Retirement Planning'!$J$41/12,0)</f>
        <v>558.33333333333337</v>
      </c>
      <c r="AJ238" s="7">
        <f t="shared" ca="1" si="89"/>
        <v>316.66666666666663</v>
      </c>
      <c r="AK238" s="3" t="str">
        <f t="shared" ca="1" si="90"/>
        <v>N/A</v>
      </c>
      <c r="AL238" s="6" t="str">
        <f t="shared" ca="1" si="91"/>
        <v>N/A</v>
      </c>
      <c r="AM238" s="7">
        <f t="shared" ca="1" si="92"/>
        <v>1.1368683772161603E-12</v>
      </c>
      <c r="AN238" s="7">
        <f t="shared" ca="1" si="93"/>
        <v>13552.545328044042</v>
      </c>
      <c r="AO238" s="7">
        <f t="shared" si="94"/>
        <v>1125</v>
      </c>
    </row>
    <row r="239" spans="1:41" x14ac:dyDescent="0.2">
      <c r="A239">
        <f t="shared" si="95"/>
        <v>50</v>
      </c>
      <c r="B239" s="5">
        <f t="shared" si="96"/>
        <v>75.400000000000006</v>
      </c>
      <c r="C239" s="56">
        <f t="shared" si="97"/>
        <v>53387</v>
      </c>
      <c r="D239" s="57">
        <f ca="1">IF(AND(B238&lt;59.5,OR(B239&gt;59.5,B239=59.5)),(D238-E238+J238-K238)*(1+'Retirement Planning'!$J$23/12),(D238-E238)*(1+'Retirement Planning'!$J$23/12))</f>
        <v>488617.70244553761</v>
      </c>
      <c r="E239" s="58">
        <f t="shared" ca="1" si="84"/>
        <v>1307.5561506573176</v>
      </c>
      <c r="F239" s="57">
        <f ca="1">IF(AND(OR(B239&gt;59.5,B239=59.5),B238&lt;59.5),(F238-G238+L238-M238+N238-O238)*(1+'Retirement Planning'!$J$23/12),(F238-G238)*(1+'Retirement Planning'!$J$23/12))</f>
        <v>1404205.5501982411</v>
      </c>
      <c r="G239" s="58">
        <f ca="1">IF(AND($B$10&lt;55,B239&lt;59.5),'Retirement Planning'!$J$25,IF(OR(B239&gt;59.5,B239=59.5),MAX(0,MIN(F239,IF(D239&lt;2500,((Y239+AJ239+AA239))-X239,((Y239+AJ239+AA239)*'Retirement Planning'!$J$44)-X239))),0))</f>
        <v>9109.2117157156736</v>
      </c>
      <c r="H239" s="255">
        <f ca="1">IF(MONTH(C239)=1,IF(B239&gt;69.5,F239/(INDEX('Retirement Planning'!D$1:D$264,(160+INT(B239))))/12,0),IF(F239=0,0,H238))</f>
        <v>8290.0495001760064</v>
      </c>
      <c r="I239" s="262">
        <f t="shared" ca="1" si="85"/>
        <v>0</v>
      </c>
      <c r="J239" s="254">
        <f ca="1">IF(AND(B238&lt;59.5,OR(B239=59.5,B239&gt;59.5)),0,(J238-K238)*(1+'Retirement Planning'!$J$23/12))</f>
        <v>0</v>
      </c>
      <c r="K239" s="58">
        <f t="shared" ca="1" si="86"/>
        <v>0</v>
      </c>
      <c r="L239" s="57">
        <f>IF(AND(OR(B239&gt;59.5,B239=59.5),B238&lt;59.5),0,(L238-M238)*(1+'Retirement Planning'!$J$23/12))</f>
        <v>0</v>
      </c>
      <c r="M239" s="59">
        <f>IF(AND($B$10&lt;55,B239&lt;59.5),0,IF(B239&lt;59.5,MAX(0,MIN((($Y239+$AJ239+AA239)*'Retirement Planning'!$J$44)-$G239-$X239,L239)),0))</f>
        <v>0</v>
      </c>
      <c r="N239" s="57">
        <f ca="1">(N238-O238)*(1+'Retirement Planning'!$J$23/12)</f>
        <v>0</v>
      </c>
      <c r="O239" s="59">
        <f ca="1">IF(B239&gt;59.5,MAX(0,MIN((AA239+$Y239+$AJ239)*(IF(D239&lt;(MIN(E227:E238)+1),1,'Retirement Planning'!$J$44))-M239-$G239-$X239-(IF(D239&lt;(MIN(E227:E238)+1),D239,0)),N239)),0)</f>
        <v>0</v>
      </c>
      <c r="P239" s="57">
        <f t="shared" si="98"/>
        <v>0</v>
      </c>
      <c r="Q239" s="58">
        <f t="shared" si="99"/>
        <v>0</v>
      </c>
      <c r="R239" s="57">
        <f ca="1">(R238-S238-T238)*(1+'Retirement Planning'!$J$23/12)</f>
        <v>558265.94329960365</v>
      </c>
      <c r="S239" s="58">
        <f t="shared" ca="1" si="100"/>
        <v>808.33333333333337</v>
      </c>
      <c r="T239" s="273">
        <f t="shared" ca="1" si="87"/>
        <v>1.1368683772161603E-12</v>
      </c>
      <c r="U239" s="57">
        <f ca="1">(U238-V238)*(1+'Retirement Planning'!$J$23/12)</f>
        <v>403710.46103465866</v>
      </c>
      <c r="V239" s="24">
        <f ca="1">IF(AND($B$10&lt;55,B239&lt;59.5),MIN(U239,MAX(0,(Y239+AA239+AJ239-G239)*'Retirement Planning'!$J$45)),IF(B239&lt;59.5,(MIN(U239,MAX(0,((Y239+AA239+AJ239)-G239-M239)*'Retirement Planning'!$J$45))),MIN(U239,MAX(0,(Y239+AA239+AJ239-G239-M239-K239-X239)*'Retirement Planning'!$J$45))))</f>
        <v>1113.8441283377156</v>
      </c>
      <c r="W239" s="7">
        <f t="shared" ca="1" si="88"/>
        <v>2854799.6569780414</v>
      </c>
      <c r="X239" s="7">
        <f>(IF(B239&gt;'Retirement Planning'!$J$34,IF('Retirement Planning'!$J$34=70,'Retirement Planning'!$J$37/12,IF('Retirement Planning'!$J$34=67,'Retirement Planning'!$J$36/12,'Retirement Planning'!$J$35/12)),0))*'Retirement Planning'!$J$38</f>
        <v>1213.6000000000001</v>
      </c>
      <c r="Y239" s="7">
        <f ca="1">'Retirement Planning'!$F$35*((1+'Retirement Planning'!$J$24)^(YEAR('Projected Retirement Drawdown'!C239)-YEAR(TODAY())))</f>
        <v>9980.7198364576416</v>
      </c>
      <c r="Z239" s="7">
        <f ca="1">G239+M239+O239+0.85*X239+V239*'Retirement Planning'!$J$46+T239</f>
        <v>10753.385986301419</v>
      </c>
      <c r="AA239" s="7">
        <f ca="1">IF(MONTH(C239)=1,(((MIN(MAX(0,((SUM(Z227:Z238)-'Retirement Planning'!$I$53-'Retirement Planning'!$I$54)-'Retirement Planning'!$J$51)*'Retirement Planning'!$I$52))))+(MIN(MAX(0,((SUM(Z227:Z238)-'Retirement Planning'!$I$53-'Retirement Planning'!$I$54)-'Retirement Planning'!$J$50)*'Retirement Planning'!$I$51),('Retirement Planning'!$J$51-'Retirement Planning'!$J$50)*'Retirement Planning'!$I$51))+(MIN(MAX(0,((SUM(Z227:Z238)-'Retirement Planning'!$I$53-'Retirement Planning'!$I$54)-'Retirement Planning'!$J$49)*'Retirement Planning'!$I$50),('Retirement Planning'!$J$50-'Retirement Planning'!$J$49)*'Retirement Planning'!$I$50)+MIN(MAX(0,((SUM(Z227:Z238)-'Retirement Planning'!$I$53-'Retirement Planning'!$I$54)-'Retirement Planning'!$J$48)*'Retirement Planning'!$I$49),('Retirement Planning'!$J$49-'Retirement Planning'!$J$48)*'Retirement Planning'!$I$49)+MIN(((SUM(Z227:Z238)-'Retirement Planning'!$I$53-'Retirement Planning'!$I$54))*'Retirement Planning'!$I$48,('Retirement Planning'!$J$48)*'Retirement Planning'!$I$48))+(IF((SUM(Z227:Z238)-'Retirement Planning'!$I$54-'Retirement Planning'!$I$61)&gt;'Retirement Planning'!$J$59,(SUM(Z227:Z238)-'Retirement Planning'!$I$54-'Retirement Planning'!$I$61-'Retirement Planning'!$J$59)*'Retirement Planning'!$I$60+'Retirement Planning'!$K$59,IF((SUM(Z227:Z238)-'Retirement Planning'!$I$54-'Retirement Planning'!$I$61)&gt;'Retirement Planning'!$J$58,(SUM(Z227:Z238)-'Retirement Planning'!$I$54-'Retirement Planning'!$I$61-'Retirement Planning'!$J$58)*'Retirement Planning'!$I$59+'Retirement Planning'!$K$58,IF((SUM(Z227:Z238)-'Retirement Planning'!$I$54-'Retirement Planning'!$I$61)&gt;'Retirement Planning'!$J$57,(SUM(Z227:Z238)-'Retirement Planning'!$I$54-'Retirement Planning'!$I$61-'Retirement Planning'!$J$57)*'Retirement Planning'!$I$58+'Retirement Planning'!$K$57,IF((SUM(Z227:Z238)-'Retirement Planning'!$I$54-'Retirement Planning'!$I$61)&gt;'Retirement Planning'!$J$56,(SUM(Z227:Z238)-'Retirement Planning'!$I$54-'Retirement Planning'!$I$61-'Retirement Planning'!$J$56)*'Retirement Planning'!$I$57+'Retirement Planning'!$K$56,(SUM(Z227:Z238)-'Retirement Planning'!$I$54-'Retirement Planning'!$I$61)*'Retirement Planning'!$I$56))))))/12,AA238)</f>
        <v>2446.8254915864004</v>
      </c>
      <c r="AB239" s="104">
        <f t="shared" ca="1" si="106"/>
        <v>0.23622245455956417</v>
      </c>
      <c r="AC239" s="7">
        <f>IF(B239&lt;65,'Retirement Planning'!$J$28,0)</f>
        <v>0</v>
      </c>
      <c r="AD239" s="7">
        <f>IF(B239&lt;65,'Retirement Planning'!$J$29/12,0)</f>
        <v>0</v>
      </c>
      <c r="AE239" s="22">
        <f>'Retirement Planning'!$J$31/12</f>
        <v>58.333333333333336</v>
      </c>
      <c r="AF239" s="22">
        <f>'Retirement Planning'!$J$32/12</f>
        <v>66.666666666666671</v>
      </c>
      <c r="AG239" s="7">
        <f>IF($B239&gt;64.9,'Retirement Planning'!$J$39/12,0)</f>
        <v>183.33333333333334</v>
      </c>
      <c r="AH239" s="7">
        <f>IF($B239&gt;64.9,'Retirement Planning'!$J$40/12,0)</f>
        <v>258.33333333333331</v>
      </c>
      <c r="AI239" s="7">
        <f>IF($B239&gt;64.9,'Retirement Planning'!$J$41/12,0)</f>
        <v>558.33333333333337</v>
      </c>
      <c r="AJ239" s="7">
        <f t="shared" ca="1" si="89"/>
        <v>316.66666666666663</v>
      </c>
      <c r="AK239" s="3" t="str">
        <f t="shared" ca="1" si="90"/>
        <v>N/A</v>
      </c>
      <c r="AL239" s="6" t="str">
        <f t="shared" ca="1" si="91"/>
        <v>N/A</v>
      </c>
      <c r="AM239" s="7">
        <f t="shared" ca="1" si="92"/>
        <v>1.1368683772161603E-12</v>
      </c>
      <c r="AN239" s="7">
        <f t="shared" ca="1" si="93"/>
        <v>13552.545328044042</v>
      </c>
      <c r="AO239" s="7">
        <f t="shared" si="94"/>
        <v>1125</v>
      </c>
    </row>
    <row r="240" spans="1:41" x14ac:dyDescent="0.2">
      <c r="A240">
        <f t="shared" si="95"/>
        <v>50</v>
      </c>
      <c r="B240" s="5">
        <f t="shared" si="96"/>
        <v>75.5</v>
      </c>
      <c r="C240" s="56">
        <f t="shared" si="97"/>
        <v>53418</v>
      </c>
      <c r="D240" s="57">
        <f ca="1">IF(AND(B239&lt;59.5,OR(B240&gt;59.5,B240=59.5)),(D239-E239+J239-K239)*(1+'Retirement Planning'!$J$23/12),(D239-E239)*(1+'Retirement Planning'!$J$23/12))</f>
        <v>490761.92649780237</v>
      </c>
      <c r="E240" s="58">
        <f t="shared" ca="1" si="84"/>
        <v>1307.5561506573176</v>
      </c>
      <c r="F240" s="57">
        <f ca="1">IF(AND(OR(B240&gt;59.5,B240=59.5),B239&lt;59.5),(F239-G239+L239-M239+N239-O239)*(1+'Retirement Planning'!$J$23/12),(F239-G239)*(1+'Retirement Planning'!$J$23/12))</f>
        <v>1404978.2708801101</v>
      </c>
      <c r="G240" s="58">
        <f ca="1">IF(AND($B$10&lt;55,B240&lt;59.5),'Retirement Planning'!$J$25,IF(OR(B240&gt;59.5,B240=59.5),MAX(0,MIN(F240,IF(D240&lt;2500,((Y240+AJ240+AA240))-X240,((Y240+AJ240+AA240)*'Retirement Planning'!$J$44)-X240))),0))</f>
        <v>9109.2117157156736</v>
      </c>
      <c r="H240" s="255">
        <f ca="1">IF(MONTH(C240)=1,IF(B240&gt;69.5,F240/(INDEX('Retirement Planning'!D$1:D$264,(160+INT(B240))))/12,0),IF(F240=0,0,H239))</f>
        <v>8290.0495001760064</v>
      </c>
      <c r="I240" s="262">
        <f t="shared" ca="1" si="85"/>
        <v>0</v>
      </c>
      <c r="J240" s="254">
        <f ca="1">IF(AND(B239&lt;59.5,OR(B240=59.5,B240&gt;59.5)),0,(J239-K239)*(1+'Retirement Planning'!$J$23/12))</f>
        <v>0</v>
      </c>
      <c r="K240" s="58">
        <f t="shared" ca="1" si="86"/>
        <v>0</v>
      </c>
      <c r="L240" s="57">
        <f>IF(AND(OR(B240&gt;59.5,B240=59.5),B239&lt;59.5),0,(L239-M239)*(1+'Retirement Planning'!$J$23/12))</f>
        <v>0</v>
      </c>
      <c r="M240" s="59">
        <f>IF(AND($B$10&lt;55,B240&lt;59.5),0,IF(B240&lt;59.5,MAX(0,MIN((($Y240+$AJ240+AA240)*'Retirement Planning'!$J$44)-$G240-$X240,L240)),0))</f>
        <v>0</v>
      </c>
      <c r="N240" s="57">
        <f ca="1">(N239-O239)*(1+'Retirement Planning'!$J$23/12)</f>
        <v>0</v>
      </c>
      <c r="O240" s="59">
        <f ca="1">IF(B240&gt;59.5,MAX(0,MIN((AA240+$Y240+$AJ240)*(IF(D240&lt;(MIN(E228:E239)+1),1,'Retirement Planning'!$J$44))-M240-$G240-$X240-(IF(D240&lt;(MIN(E228:E239)+1),D240,0)),N240)),0)</f>
        <v>0</v>
      </c>
      <c r="P240" s="57">
        <f t="shared" si="98"/>
        <v>0</v>
      </c>
      <c r="Q240" s="58">
        <f t="shared" si="99"/>
        <v>0</v>
      </c>
      <c r="R240" s="57">
        <f ca="1">(R239-S239-T239)*(1+'Retirement Planning'!$J$23/12)</f>
        <v>561406.2680368647</v>
      </c>
      <c r="S240" s="58">
        <f t="shared" ca="1" si="100"/>
        <v>808.33333333333337</v>
      </c>
      <c r="T240" s="273">
        <f t="shared" ca="1" si="87"/>
        <v>1.1368683772161603E-12</v>
      </c>
      <c r="U240" s="57">
        <f ca="1">(U239-V239)*(1+'Retirement Planning'!$J$23/12)</f>
        <v>405448.34294274077</v>
      </c>
      <c r="V240" s="24">
        <f ca="1">IF(AND($B$10&lt;55,B240&lt;59.5),MIN(U240,MAX(0,(Y240+AA240+AJ240-G240)*'Retirement Planning'!$J$45)),IF(B240&lt;59.5,(MIN(U240,MAX(0,((Y240+AA240+AJ240)-G240-M240)*'Retirement Planning'!$J$45))),MIN(U240,MAX(0,(Y240+AA240+AJ240-G240-M240-K240-X240)*'Retirement Planning'!$J$45))))</f>
        <v>1113.8441283377156</v>
      </c>
      <c r="W240" s="7">
        <f t="shared" ca="1" si="88"/>
        <v>2862594.8083575182</v>
      </c>
      <c r="X240" s="7">
        <f>(IF(B240&gt;'Retirement Planning'!$J$34,IF('Retirement Planning'!$J$34=70,'Retirement Planning'!$J$37/12,IF('Retirement Planning'!$J$34=67,'Retirement Planning'!$J$36/12,'Retirement Planning'!$J$35/12)),0))*'Retirement Planning'!$J$38</f>
        <v>1213.6000000000001</v>
      </c>
      <c r="Y240" s="7">
        <f ca="1">'Retirement Planning'!$F$35*((1+'Retirement Planning'!$J$24)^(YEAR('Projected Retirement Drawdown'!C240)-YEAR(TODAY())))</f>
        <v>9980.7198364576416</v>
      </c>
      <c r="Z240" s="7">
        <f ca="1">G240+M240+O240+0.85*X240+V240*'Retirement Planning'!$J$46+T240</f>
        <v>10753.385986301419</v>
      </c>
      <c r="AA240" s="7">
        <f ca="1">IF(MONTH(C240)=1,(((MIN(MAX(0,((SUM(Z228:Z239)-'Retirement Planning'!$I$53-'Retirement Planning'!$I$54)-'Retirement Planning'!$J$51)*'Retirement Planning'!$I$52))))+(MIN(MAX(0,((SUM(Z228:Z239)-'Retirement Planning'!$I$53-'Retirement Planning'!$I$54)-'Retirement Planning'!$J$50)*'Retirement Planning'!$I$51),('Retirement Planning'!$J$51-'Retirement Planning'!$J$50)*'Retirement Planning'!$I$51))+(MIN(MAX(0,((SUM(Z228:Z239)-'Retirement Planning'!$I$53-'Retirement Planning'!$I$54)-'Retirement Planning'!$J$49)*'Retirement Planning'!$I$50),('Retirement Planning'!$J$50-'Retirement Planning'!$J$49)*'Retirement Planning'!$I$50)+MIN(MAX(0,((SUM(Z228:Z239)-'Retirement Planning'!$I$53-'Retirement Planning'!$I$54)-'Retirement Planning'!$J$48)*'Retirement Planning'!$I$49),('Retirement Planning'!$J$49-'Retirement Planning'!$J$48)*'Retirement Planning'!$I$49)+MIN(((SUM(Z228:Z239)-'Retirement Planning'!$I$53-'Retirement Planning'!$I$54))*'Retirement Planning'!$I$48,('Retirement Planning'!$J$48)*'Retirement Planning'!$I$48))+(IF((SUM(Z228:Z239)-'Retirement Planning'!$I$54-'Retirement Planning'!$I$61)&gt;'Retirement Planning'!$J$59,(SUM(Z228:Z239)-'Retirement Planning'!$I$54-'Retirement Planning'!$I$61-'Retirement Planning'!$J$59)*'Retirement Planning'!$I$60+'Retirement Planning'!$K$59,IF((SUM(Z228:Z239)-'Retirement Planning'!$I$54-'Retirement Planning'!$I$61)&gt;'Retirement Planning'!$J$58,(SUM(Z228:Z239)-'Retirement Planning'!$I$54-'Retirement Planning'!$I$61-'Retirement Planning'!$J$58)*'Retirement Planning'!$I$59+'Retirement Planning'!$K$58,IF((SUM(Z228:Z239)-'Retirement Planning'!$I$54-'Retirement Planning'!$I$61)&gt;'Retirement Planning'!$J$57,(SUM(Z228:Z239)-'Retirement Planning'!$I$54-'Retirement Planning'!$I$61-'Retirement Planning'!$J$57)*'Retirement Planning'!$I$58+'Retirement Planning'!$K$57,IF((SUM(Z228:Z239)-'Retirement Planning'!$I$54-'Retirement Planning'!$I$61)&gt;'Retirement Planning'!$J$56,(SUM(Z228:Z239)-'Retirement Planning'!$I$54-'Retirement Planning'!$I$61-'Retirement Planning'!$J$56)*'Retirement Planning'!$I$57+'Retirement Planning'!$K$56,(SUM(Z228:Z239)-'Retirement Planning'!$I$54-'Retirement Planning'!$I$61)*'Retirement Planning'!$I$56))))))/12,AA239)</f>
        <v>2446.8254915864004</v>
      </c>
      <c r="AB240" s="104">
        <f t="shared" ca="1" si="106"/>
        <v>0.23622245455956417</v>
      </c>
      <c r="AC240" s="7">
        <f>IF(B240&lt;65,'Retirement Planning'!$J$28,0)</f>
        <v>0</v>
      </c>
      <c r="AD240" s="7">
        <f>IF(B240&lt;65,'Retirement Planning'!$J$29/12,0)</f>
        <v>0</v>
      </c>
      <c r="AE240" s="22">
        <f>'Retirement Planning'!$J$31/12</f>
        <v>58.333333333333336</v>
      </c>
      <c r="AF240" s="22">
        <f>'Retirement Planning'!$J$32/12</f>
        <v>66.666666666666671</v>
      </c>
      <c r="AG240" s="7">
        <f>IF($B240&gt;64.9,'Retirement Planning'!$J$39/12,0)</f>
        <v>183.33333333333334</v>
      </c>
      <c r="AH240" s="7">
        <f>IF($B240&gt;64.9,'Retirement Planning'!$J$40/12,0)</f>
        <v>258.33333333333331</v>
      </c>
      <c r="AI240" s="7">
        <f>IF($B240&gt;64.9,'Retirement Planning'!$J$41/12,0)</f>
        <v>558.33333333333337</v>
      </c>
      <c r="AJ240" s="7">
        <f t="shared" ca="1" si="89"/>
        <v>316.66666666666663</v>
      </c>
      <c r="AK240" s="3" t="str">
        <f t="shared" ca="1" si="90"/>
        <v>N/A</v>
      </c>
      <c r="AL240" s="6" t="str">
        <f t="shared" ca="1" si="91"/>
        <v>N/A</v>
      </c>
      <c r="AM240" s="7">
        <f t="shared" ca="1" si="92"/>
        <v>1.1368683772161603E-12</v>
      </c>
      <c r="AN240" s="7">
        <f t="shared" ca="1" si="93"/>
        <v>13552.545328044042</v>
      </c>
      <c r="AO240" s="7">
        <f t="shared" si="94"/>
        <v>1125</v>
      </c>
    </row>
    <row r="241" spans="1:41" x14ac:dyDescent="0.2">
      <c r="A241">
        <f t="shared" si="95"/>
        <v>50</v>
      </c>
      <c r="B241" s="5">
        <f t="shared" si="96"/>
        <v>75.5</v>
      </c>
      <c r="C241" s="56">
        <f t="shared" si="97"/>
        <v>53448</v>
      </c>
      <c r="D241" s="57">
        <f ca="1">IF(AND(B240&lt;59.5,OR(B241&gt;59.5,B241=59.5)),(D240-E240+J240-K240)*(1+'Retirement Planning'!$J$23/12),(D240-E240)*(1+'Retirement Planning'!$J$23/12))</f>
        <v>492921.33880377066</v>
      </c>
      <c r="E241" s="58">
        <f t="shared" ca="1" si="84"/>
        <v>1307.5561506573176</v>
      </c>
      <c r="F241" s="57">
        <f ca="1">IF(AND(OR(B241&gt;59.5,B241=59.5),B240&lt;59.5),(F240-G240+L240-M240+N240-O240)*(1+'Retirement Planning'!$J$23/12),(F240-G240)*(1+'Retirement Planning'!$J$23/12))</f>
        <v>1405756.4650001421</v>
      </c>
      <c r="G241" s="58">
        <f ca="1">IF(AND($B$10&lt;55,B241&lt;59.5),'Retirement Planning'!$J$25,IF(OR(B241&gt;59.5,B241=59.5),MAX(0,MIN(F241,IF(D241&lt;2500,((Y241+AJ241+AA241))-X241,((Y241+AJ241+AA241)*'Retirement Planning'!$J$44)-X241))),0))</f>
        <v>9109.2117157156736</v>
      </c>
      <c r="H241" s="255">
        <f ca="1">IF(MONTH(C241)=1,IF(B241&gt;69.5,F241/(INDEX('Retirement Planning'!D$1:D$264,(160+INT(B241))))/12,0),IF(F241=0,0,H240))</f>
        <v>8290.0495001760064</v>
      </c>
      <c r="I241" s="262">
        <f t="shared" ca="1" si="85"/>
        <v>0</v>
      </c>
      <c r="J241" s="254">
        <f ca="1">IF(AND(B240&lt;59.5,OR(B241=59.5,B241&gt;59.5)),0,(J240-K240)*(1+'Retirement Planning'!$J$23/12))</f>
        <v>0</v>
      </c>
      <c r="K241" s="58">
        <f t="shared" ca="1" si="86"/>
        <v>0</v>
      </c>
      <c r="L241" s="57">
        <f>IF(AND(OR(B241&gt;59.5,B241=59.5),B240&lt;59.5),0,(L240-M240)*(1+'Retirement Planning'!$J$23/12))</f>
        <v>0</v>
      </c>
      <c r="M241" s="59">
        <f>IF(AND($B$10&lt;55,B241&lt;59.5),0,IF(B241&lt;59.5,MAX(0,MIN((($Y241+$AJ241+AA241)*'Retirement Planning'!$J$44)-$G241-$X241,L241)),0))</f>
        <v>0</v>
      </c>
      <c r="N241" s="57">
        <f ca="1">(N240-O240)*(1+'Retirement Planning'!$J$23/12)</f>
        <v>0</v>
      </c>
      <c r="O241" s="59">
        <f ca="1">IF(B241&gt;59.5,MAX(0,MIN((AA241+$Y241+$AJ241)*(IF(D241&lt;(MIN(E229:E240)+1),1,'Retirement Planning'!$J$44))-M241-$G241-$X241-(IF(D241&lt;(MIN(E229:E240)+1),D241,0)),N241)),0)</f>
        <v>0</v>
      </c>
      <c r="P241" s="57">
        <f t="shared" si="98"/>
        <v>0</v>
      </c>
      <c r="Q241" s="58">
        <f t="shared" si="99"/>
        <v>0</v>
      </c>
      <c r="R241" s="57">
        <f ca="1">(R240-S240-T240)*(1+'Retirement Planning'!$J$23/12)</f>
        <v>564568.83674101462</v>
      </c>
      <c r="S241" s="58">
        <f t="shared" ca="1" si="100"/>
        <v>808.33333333333337</v>
      </c>
      <c r="T241" s="273">
        <f t="shared" ca="1" si="87"/>
        <v>1.1368683772161603E-12</v>
      </c>
      <c r="U241" s="57">
        <f ca="1">(U240-V240)*(1+'Retirement Planning'!$J$23/12)</f>
        <v>407198.53484767175</v>
      </c>
      <c r="V241" s="24">
        <f ca="1">IF(AND($B$10&lt;55,B241&lt;59.5),MIN(U241,MAX(0,(Y241+AA241+AJ241-G241)*'Retirement Planning'!$J$45)),IF(B241&lt;59.5,(MIN(U241,MAX(0,((Y241+AA241+AJ241)-G241-M241)*'Retirement Planning'!$J$45))),MIN(U241,MAX(0,(Y241+AA241+AJ241-G241-M241-K241-X241)*'Retirement Planning'!$J$45))))</f>
        <v>1113.8441283377156</v>
      </c>
      <c r="W241" s="7">
        <f t="shared" ca="1" si="88"/>
        <v>2870445.1753925993</v>
      </c>
      <c r="X241" s="7">
        <f>(IF(B241&gt;'Retirement Planning'!$J$34,IF('Retirement Planning'!$J$34=70,'Retirement Planning'!$J$37/12,IF('Retirement Planning'!$J$34=67,'Retirement Planning'!$J$36/12,'Retirement Planning'!$J$35/12)),0))*'Retirement Planning'!$J$38</f>
        <v>1213.6000000000001</v>
      </c>
      <c r="Y241" s="7">
        <f ca="1">'Retirement Planning'!$F$35*((1+'Retirement Planning'!$J$24)^(YEAR('Projected Retirement Drawdown'!C241)-YEAR(TODAY())))</f>
        <v>9980.7198364576416</v>
      </c>
      <c r="Z241" s="7">
        <f ca="1">G241+M241+O241+0.85*X241+V241*'Retirement Planning'!$J$46+T241</f>
        <v>10753.385986301419</v>
      </c>
      <c r="AA241" s="7">
        <f ca="1">IF(MONTH(C241)=1,(((MIN(MAX(0,((SUM(Z229:Z240)-'Retirement Planning'!$I$53-'Retirement Planning'!$I$54)-'Retirement Planning'!$J$51)*'Retirement Planning'!$I$52))))+(MIN(MAX(0,((SUM(Z229:Z240)-'Retirement Planning'!$I$53-'Retirement Planning'!$I$54)-'Retirement Planning'!$J$50)*'Retirement Planning'!$I$51),('Retirement Planning'!$J$51-'Retirement Planning'!$J$50)*'Retirement Planning'!$I$51))+(MIN(MAX(0,((SUM(Z229:Z240)-'Retirement Planning'!$I$53-'Retirement Planning'!$I$54)-'Retirement Planning'!$J$49)*'Retirement Planning'!$I$50),('Retirement Planning'!$J$50-'Retirement Planning'!$J$49)*'Retirement Planning'!$I$50)+MIN(MAX(0,((SUM(Z229:Z240)-'Retirement Planning'!$I$53-'Retirement Planning'!$I$54)-'Retirement Planning'!$J$48)*'Retirement Planning'!$I$49),('Retirement Planning'!$J$49-'Retirement Planning'!$J$48)*'Retirement Planning'!$I$49)+MIN(((SUM(Z229:Z240)-'Retirement Planning'!$I$53-'Retirement Planning'!$I$54))*'Retirement Planning'!$I$48,('Retirement Planning'!$J$48)*'Retirement Planning'!$I$48))+(IF((SUM(Z229:Z240)-'Retirement Planning'!$I$54-'Retirement Planning'!$I$61)&gt;'Retirement Planning'!$J$59,(SUM(Z229:Z240)-'Retirement Planning'!$I$54-'Retirement Planning'!$I$61-'Retirement Planning'!$J$59)*'Retirement Planning'!$I$60+'Retirement Planning'!$K$59,IF((SUM(Z229:Z240)-'Retirement Planning'!$I$54-'Retirement Planning'!$I$61)&gt;'Retirement Planning'!$J$58,(SUM(Z229:Z240)-'Retirement Planning'!$I$54-'Retirement Planning'!$I$61-'Retirement Planning'!$J$58)*'Retirement Planning'!$I$59+'Retirement Planning'!$K$58,IF((SUM(Z229:Z240)-'Retirement Planning'!$I$54-'Retirement Planning'!$I$61)&gt;'Retirement Planning'!$J$57,(SUM(Z229:Z240)-'Retirement Planning'!$I$54-'Retirement Planning'!$I$61-'Retirement Planning'!$J$57)*'Retirement Planning'!$I$58+'Retirement Planning'!$K$57,IF((SUM(Z229:Z240)-'Retirement Planning'!$I$54-'Retirement Planning'!$I$61)&gt;'Retirement Planning'!$J$56,(SUM(Z229:Z240)-'Retirement Planning'!$I$54-'Retirement Planning'!$I$61-'Retirement Planning'!$J$56)*'Retirement Planning'!$I$57+'Retirement Planning'!$K$56,(SUM(Z229:Z240)-'Retirement Planning'!$I$54-'Retirement Planning'!$I$61)*'Retirement Planning'!$I$56))))))/12,AA240)</f>
        <v>2446.8254915864004</v>
      </c>
      <c r="AB241" s="104">
        <f t="shared" ca="1" si="106"/>
        <v>0.23622245455956417</v>
      </c>
      <c r="AC241" s="7">
        <f>IF(B241&lt;65,'Retirement Planning'!$J$28,0)</f>
        <v>0</v>
      </c>
      <c r="AD241" s="7">
        <f>IF(B241&lt;65,'Retirement Planning'!$J$29/12,0)</f>
        <v>0</v>
      </c>
      <c r="AE241" s="22">
        <f>'Retirement Planning'!$J$31/12</f>
        <v>58.333333333333336</v>
      </c>
      <c r="AF241" s="22">
        <f>'Retirement Planning'!$J$32/12</f>
        <v>66.666666666666671</v>
      </c>
      <c r="AG241" s="7">
        <f>IF($B241&gt;64.9,'Retirement Planning'!$J$39/12,0)</f>
        <v>183.33333333333334</v>
      </c>
      <c r="AH241" s="7">
        <f>IF($B241&gt;64.9,'Retirement Planning'!$J$40/12,0)</f>
        <v>258.33333333333331</v>
      </c>
      <c r="AI241" s="7">
        <f>IF($B241&gt;64.9,'Retirement Planning'!$J$41/12,0)</f>
        <v>558.33333333333337</v>
      </c>
      <c r="AJ241" s="7">
        <f t="shared" ca="1" si="89"/>
        <v>316.66666666666663</v>
      </c>
      <c r="AK241" s="3" t="str">
        <f t="shared" ca="1" si="90"/>
        <v>N/A</v>
      </c>
      <c r="AL241" s="6" t="str">
        <f t="shared" ca="1" si="91"/>
        <v>N/A</v>
      </c>
      <c r="AM241" s="7">
        <f t="shared" ca="1" si="92"/>
        <v>1.1368683772161603E-12</v>
      </c>
      <c r="AN241" s="7">
        <f t="shared" ca="1" si="93"/>
        <v>13552.545328044042</v>
      </c>
      <c r="AO241" s="7">
        <f t="shared" si="94"/>
        <v>1125</v>
      </c>
    </row>
    <row r="242" spans="1:41" x14ac:dyDescent="0.2">
      <c r="A242">
        <f t="shared" si="95"/>
        <v>50</v>
      </c>
      <c r="B242" s="5">
        <f t="shared" si="96"/>
        <v>75.599999999999994</v>
      </c>
      <c r="C242" s="56">
        <f t="shared" si="97"/>
        <v>53479</v>
      </c>
      <c r="D242" s="57">
        <f ca="1">IF(AND(B241&lt;59.5,OR(B242&gt;59.5,B242=59.5)),(D241-E241+J241-K241)*(1+'Retirement Planning'!$J$23/12),(D241-E241)*(1+'Retirement Planning'!$J$23/12))</f>
        <v>495096.04694690625</v>
      </c>
      <c r="E242" s="58">
        <f t="shared" ca="1" si="84"/>
        <v>1307.5561506573176</v>
      </c>
      <c r="F242" s="57">
        <f ca="1">IF(AND(OR(B242&gt;59.5,B242=59.5),B241&lt;59.5),(F241-G241+L241-M241+N241-O241)*(1+'Retirement Planning'!$J$23/12),(F241-G241)*(1+'Retirement Planning'!$J$23/12))</f>
        <v>1406540.1713285244</v>
      </c>
      <c r="G242" s="58">
        <f ca="1">IF(AND($B$10&lt;55,B242&lt;59.5),'Retirement Planning'!$J$25,IF(OR(B242&gt;59.5,B242=59.5),MAX(0,MIN(F242,IF(D242&lt;2500,((Y242+AJ242+AA242))-X242,((Y242+AJ242+AA242)*'Retirement Planning'!$J$44)-X242))),0))</f>
        <v>9109.2117157156736</v>
      </c>
      <c r="H242" s="255">
        <f ca="1">IF(MONTH(C242)=1,IF(B242&gt;69.5,F242/(INDEX('Retirement Planning'!D$1:D$264,(160+INT(B242))))/12,0),IF(F242=0,0,H241))</f>
        <v>8290.0495001760064</v>
      </c>
      <c r="I242" s="262">
        <f t="shared" ca="1" si="85"/>
        <v>0</v>
      </c>
      <c r="J242" s="254">
        <f ca="1">IF(AND(B241&lt;59.5,OR(B242=59.5,B242&gt;59.5)),0,(J241-K241)*(1+'Retirement Planning'!$J$23/12))</f>
        <v>0</v>
      </c>
      <c r="K242" s="58">
        <f t="shared" ca="1" si="86"/>
        <v>0</v>
      </c>
      <c r="L242" s="57">
        <f>IF(AND(OR(B242&gt;59.5,B242=59.5),B241&lt;59.5),0,(L241-M241)*(1+'Retirement Planning'!$J$23/12))</f>
        <v>0</v>
      </c>
      <c r="M242" s="59">
        <f>IF(AND($B$10&lt;55,B242&lt;59.5),0,IF(B242&lt;59.5,MAX(0,MIN((($Y242+$AJ242+AA242)*'Retirement Planning'!$J$44)-$G242-$X242,L242)),0))</f>
        <v>0</v>
      </c>
      <c r="N242" s="57">
        <f ca="1">(N241-O241)*(1+'Retirement Planning'!$J$23/12)</f>
        <v>0</v>
      </c>
      <c r="O242" s="59">
        <f ca="1">IF(B242&gt;59.5,MAX(0,MIN((AA242+$Y242+$AJ242)*(IF(D242&lt;(MIN(E230:E241)+1),1,'Retirement Planning'!$J$44))-M242-$G242-$X242-(IF(D242&lt;(MIN(E230:E241)+1),D242,0)),N242)),0)</f>
        <v>0</v>
      </c>
      <c r="P242" s="57">
        <f t="shared" si="98"/>
        <v>0</v>
      </c>
      <c r="Q242" s="58">
        <f t="shared" si="99"/>
        <v>0</v>
      </c>
      <c r="R242" s="57">
        <f ca="1">(R241-S241-T241)*(1+'Retirement Planning'!$J$23/12)</f>
        <v>567753.80697348563</v>
      </c>
      <c r="S242" s="58">
        <f t="shared" ca="1" si="100"/>
        <v>808.33333333333337</v>
      </c>
      <c r="T242" s="273">
        <f t="shared" ca="1" si="87"/>
        <v>1.1368683772161603E-12</v>
      </c>
      <c r="U242" s="57">
        <f ca="1">(U241-V241)*(1+'Retirement Planning'!$J$23/12)</f>
        <v>408961.12394526269</v>
      </c>
      <c r="V242" s="24">
        <f ca="1">IF(AND($B$10&lt;55,B242&lt;59.5),MIN(U242,MAX(0,(Y242+AA242+AJ242-G242)*'Retirement Planning'!$J$45)),IF(B242&lt;59.5,(MIN(U242,MAX(0,((Y242+AA242+AJ242)-G242-M242)*'Retirement Planning'!$J$45))),MIN(U242,MAX(0,(Y242+AA242+AJ242-G242-M242-K242-X242)*'Retirement Planning'!$J$45))))</f>
        <v>1113.8441283377156</v>
      </c>
      <c r="W242" s="7">
        <f t="shared" ca="1" si="88"/>
        <v>2878351.1491941791</v>
      </c>
      <c r="X242" s="7">
        <f>(IF(B242&gt;'Retirement Planning'!$J$34,IF('Retirement Planning'!$J$34=70,'Retirement Planning'!$J$37/12,IF('Retirement Planning'!$J$34=67,'Retirement Planning'!$J$36/12,'Retirement Planning'!$J$35/12)),0))*'Retirement Planning'!$J$38</f>
        <v>1213.6000000000001</v>
      </c>
      <c r="Y242" s="7">
        <f ca="1">'Retirement Planning'!$F$35*((1+'Retirement Planning'!$J$24)^(YEAR('Projected Retirement Drawdown'!C242)-YEAR(TODAY())))</f>
        <v>9980.7198364576416</v>
      </c>
      <c r="Z242" s="7">
        <f ca="1">G242+M242+O242+0.85*X242+V242*'Retirement Planning'!$J$46+T242</f>
        <v>10753.385986301419</v>
      </c>
      <c r="AA242" s="7">
        <f ca="1">IF(MONTH(C242)=1,(((MIN(MAX(0,((SUM(Z230:Z241)-'Retirement Planning'!$I$53-'Retirement Planning'!$I$54)-'Retirement Planning'!$J$51)*'Retirement Planning'!$I$52))))+(MIN(MAX(0,((SUM(Z230:Z241)-'Retirement Planning'!$I$53-'Retirement Planning'!$I$54)-'Retirement Planning'!$J$50)*'Retirement Planning'!$I$51),('Retirement Planning'!$J$51-'Retirement Planning'!$J$50)*'Retirement Planning'!$I$51))+(MIN(MAX(0,((SUM(Z230:Z241)-'Retirement Planning'!$I$53-'Retirement Planning'!$I$54)-'Retirement Planning'!$J$49)*'Retirement Planning'!$I$50),('Retirement Planning'!$J$50-'Retirement Planning'!$J$49)*'Retirement Planning'!$I$50)+MIN(MAX(0,((SUM(Z230:Z241)-'Retirement Planning'!$I$53-'Retirement Planning'!$I$54)-'Retirement Planning'!$J$48)*'Retirement Planning'!$I$49),('Retirement Planning'!$J$49-'Retirement Planning'!$J$48)*'Retirement Planning'!$I$49)+MIN(((SUM(Z230:Z241)-'Retirement Planning'!$I$53-'Retirement Planning'!$I$54))*'Retirement Planning'!$I$48,('Retirement Planning'!$J$48)*'Retirement Planning'!$I$48))+(IF((SUM(Z230:Z241)-'Retirement Planning'!$I$54-'Retirement Planning'!$I$61)&gt;'Retirement Planning'!$J$59,(SUM(Z230:Z241)-'Retirement Planning'!$I$54-'Retirement Planning'!$I$61-'Retirement Planning'!$J$59)*'Retirement Planning'!$I$60+'Retirement Planning'!$K$59,IF((SUM(Z230:Z241)-'Retirement Planning'!$I$54-'Retirement Planning'!$I$61)&gt;'Retirement Planning'!$J$58,(SUM(Z230:Z241)-'Retirement Planning'!$I$54-'Retirement Planning'!$I$61-'Retirement Planning'!$J$58)*'Retirement Planning'!$I$59+'Retirement Planning'!$K$58,IF((SUM(Z230:Z241)-'Retirement Planning'!$I$54-'Retirement Planning'!$I$61)&gt;'Retirement Planning'!$J$57,(SUM(Z230:Z241)-'Retirement Planning'!$I$54-'Retirement Planning'!$I$61-'Retirement Planning'!$J$57)*'Retirement Planning'!$I$58+'Retirement Planning'!$K$57,IF((SUM(Z230:Z241)-'Retirement Planning'!$I$54-'Retirement Planning'!$I$61)&gt;'Retirement Planning'!$J$56,(SUM(Z230:Z241)-'Retirement Planning'!$I$54-'Retirement Planning'!$I$61-'Retirement Planning'!$J$56)*'Retirement Planning'!$I$57+'Retirement Planning'!$K$56,(SUM(Z230:Z241)-'Retirement Planning'!$I$54-'Retirement Planning'!$I$61)*'Retirement Planning'!$I$56))))))/12,AA241)</f>
        <v>2446.8254915864004</v>
      </c>
      <c r="AB242" s="104">
        <f t="shared" ca="1" si="106"/>
        <v>0.23622245455956417</v>
      </c>
      <c r="AC242" s="7">
        <f>IF(B242&lt;65,'Retirement Planning'!$J$28,0)</f>
        <v>0</v>
      </c>
      <c r="AD242" s="7">
        <f>IF(B242&lt;65,'Retirement Planning'!$J$29/12,0)</f>
        <v>0</v>
      </c>
      <c r="AE242" s="22">
        <f>'Retirement Planning'!$J$31/12</f>
        <v>58.333333333333336</v>
      </c>
      <c r="AF242" s="22">
        <f>'Retirement Planning'!$J$32/12</f>
        <v>66.666666666666671</v>
      </c>
      <c r="AG242" s="7">
        <f>IF($B242&gt;64.9,'Retirement Planning'!$J$39/12,0)</f>
        <v>183.33333333333334</v>
      </c>
      <c r="AH242" s="7">
        <f>IF($B242&gt;64.9,'Retirement Planning'!$J$40/12,0)</f>
        <v>258.33333333333331</v>
      </c>
      <c r="AI242" s="7">
        <f>IF($B242&gt;64.9,'Retirement Planning'!$J$41/12,0)</f>
        <v>558.33333333333337</v>
      </c>
      <c r="AJ242" s="7">
        <f t="shared" ca="1" si="89"/>
        <v>316.66666666666663</v>
      </c>
      <c r="AK242" s="3" t="str">
        <f t="shared" ca="1" si="90"/>
        <v>N/A</v>
      </c>
      <c r="AL242" s="6" t="str">
        <f t="shared" ca="1" si="91"/>
        <v>N/A</v>
      </c>
      <c r="AM242" s="7">
        <f t="shared" ca="1" si="92"/>
        <v>1.1368683772161603E-12</v>
      </c>
      <c r="AN242" s="7">
        <f t="shared" ca="1" si="93"/>
        <v>13552.545328044042</v>
      </c>
      <c r="AO242" s="7">
        <f t="shared" si="94"/>
        <v>1125</v>
      </c>
    </row>
    <row r="243" spans="1:41" x14ac:dyDescent="0.2">
      <c r="A243">
        <f t="shared" si="95"/>
        <v>50</v>
      </c>
      <c r="B243" s="5">
        <f t="shared" si="96"/>
        <v>75.7</v>
      </c>
      <c r="C243" s="56">
        <f t="shared" si="97"/>
        <v>53509</v>
      </c>
      <c r="D243" s="57">
        <f ca="1">IF(AND(B242&lt;59.5,OR(B243&gt;59.5,B243=59.5)),(D242-E242+J242-K242)*(1+'Retirement Planning'!$J$23/12),(D242-E242)*(1+'Retirement Planning'!$J$23/12))</f>
        <v>497286.15927272238</v>
      </c>
      <c r="E243" s="58">
        <f t="shared" ca="1" si="84"/>
        <v>1307.5561506573176</v>
      </c>
      <c r="F243" s="57">
        <f ca="1">IF(AND(OR(B243&gt;59.5,B243=59.5),B242&lt;59.5),(F242-G242+L242-M242+N242-O242)*(1+'Retirement Planning'!$J$23/12),(F242-G242)*(1+'Retirement Planning'!$J$23/12))</f>
        <v>1407329.4289100661</v>
      </c>
      <c r="G243" s="58">
        <f ca="1">IF(AND($B$10&lt;55,B243&lt;59.5),'Retirement Planning'!$J$25,IF(OR(B243&gt;59.5,B243=59.5),MAX(0,MIN(F243,IF(D243&lt;2500,((Y243+AJ243+AA243))-X243,((Y243+AJ243+AA243)*'Retirement Planning'!$J$44)-X243))),0))</f>
        <v>9109.2117157156736</v>
      </c>
      <c r="H243" s="255">
        <f ca="1">IF(MONTH(C243)=1,IF(B243&gt;69.5,F243/(INDEX('Retirement Planning'!D$1:D$264,(160+INT(B243))))/12,0),IF(F243=0,0,H242))</f>
        <v>8290.0495001760064</v>
      </c>
      <c r="I243" s="262">
        <f t="shared" ca="1" si="85"/>
        <v>0</v>
      </c>
      <c r="J243" s="254">
        <f ca="1">IF(AND(B242&lt;59.5,OR(B243=59.5,B243&gt;59.5)),0,(J242-K242)*(1+'Retirement Planning'!$J$23/12))</f>
        <v>0</v>
      </c>
      <c r="K243" s="58">
        <f t="shared" ca="1" si="86"/>
        <v>0</v>
      </c>
      <c r="L243" s="57">
        <f>IF(AND(OR(B243&gt;59.5,B243=59.5),B242&lt;59.5),0,(L242-M242)*(1+'Retirement Planning'!$J$23/12))</f>
        <v>0</v>
      </c>
      <c r="M243" s="59">
        <f>IF(AND($B$10&lt;55,B243&lt;59.5),0,IF(B243&lt;59.5,MAX(0,MIN((($Y243+$AJ243+AA243)*'Retirement Planning'!$J$44)-$G243-$X243,L243)),0))</f>
        <v>0</v>
      </c>
      <c r="N243" s="57">
        <f ca="1">(N242-O242)*(1+'Retirement Planning'!$J$23/12)</f>
        <v>0</v>
      </c>
      <c r="O243" s="59">
        <f ca="1">IF(B243&gt;59.5,MAX(0,MIN((AA243+$Y243+$AJ243)*(IF(D243&lt;(MIN(E231:E242)+1),1,'Retirement Planning'!$J$44))-M243-$G243-$X243-(IF(D243&lt;(MIN(E231:E242)+1),D243,0)),N243)),0)</f>
        <v>0</v>
      </c>
      <c r="P243" s="57">
        <f t="shared" si="98"/>
        <v>0</v>
      </c>
      <c r="Q243" s="58">
        <f t="shared" si="99"/>
        <v>0</v>
      </c>
      <c r="R243" s="57">
        <f ca="1">(R242-S242-T242)*(1+'Retirement Planning'!$J$23/12)</f>
        <v>570961.33741177002</v>
      </c>
      <c r="S243" s="58">
        <f t="shared" ca="1" si="100"/>
        <v>808.33333333333337</v>
      </c>
      <c r="T243" s="273">
        <f t="shared" ca="1" si="87"/>
        <v>1.1368683772161603E-12</v>
      </c>
      <c r="U243" s="57">
        <f ca="1">(U242-V242)*(1+'Retirement Planning'!$J$23/12)</f>
        <v>410736.19804896158</v>
      </c>
      <c r="V243" s="24">
        <f ca="1">IF(AND($B$10&lt;55,B243&lt;59.5),MIN(U243,MAX(0,(Y243+AA243+AJ243-G243)*'Retirement Planning'!$J$45)),IF(B243&lt;59.5,(MIN(U243,MAX(0,((Y243+AA243+AJ243)-G243-M243)*'Retirement Planning'!$J$45))),MIN(U243,MAX(0,(Y243+AA243+AJ243-G243-M243-K243-X243)*'Retirement Planning'!$J$45))))</f>
        <v>1113.8441283377156</v>
      </c>
      <c r="W243" s="7">
        <f t="shared" ca="1" si="88"/>
        <v>2886313.1236435203</v>
      </c>
      <c r="X243" s="7">
        <f>(IF(B243&gt;'Retirement Planning'!$J$34,IF('Retirement Planning'!$J$34=70,'Retirement Planning'!$J$37/12,IF('Retirement Planning'!$J$34=67,'Retirement Planning'!$J$36/12,'Retirement Planning'!$J$35/12)),0))*'Retirement Planning'!$J$38</f>
        <v>1213.6000000000001</v>
      </c>
      <c r="Y243" s="7">
        <f ca="1">'Retirement Planning'!$F$35*((1+'Retirement Planning'!$J$24)^(YEAR('Projected Retirement Drawdown'!C243)-YEAR(TODAY())))</f>
        <v>9980.7198364576416</v>
      </c>
      <c r="Z243" s="7">
        <f ca="1">G243+M243+O243+0.85*X243+V243*'Retirement Planning'!$J$46+T243</f>
        <v>10753.385986301419</v>
      </c>
      <c r="AA243" s="7">
        <f ca="1">IF(MONTH(C243)=1,(((MIN(MAX(0,((SUM(Z231:Z242)-'Retirement Planning'!$I$53-'Retirement Planning'!$I$54)-'Retirement Planning'!$J$51)*'Retirement Planning'!$I$52))))+(MIN(MAX(0,((SUM(Z231:Z242)-'Retirement Planning'!$I$53-'Retirement Planning'!$I$54)-'Retirement Planning'!$J$50)*'Retirement Planning'!$I$51),('Retirement Planning'!$J$51-'Retirement Planning'!$J$50)*'Retirement Planning'!$I$51))+(MIN(MAX(0,((SUM(Z231:Z242)-'Retirement Planning'!$I$53-'Retirement Planning'!$I$54)-'Retirement Planning'!$J$49)*'Retirement Planning'!$I$50),('Retirement Planning'!$J$50-'Retirement Planning'!$J$49)*'Retirement Planning'!$I$50)+MIN(MAX(0,((SUM(Z231:Z242)-'Retirement Planning'!$I$53-'Retirement Planning'!$I$54)-'Retirement Planning'!$J$48)*'Retirement Planning'!$I$49),('Retirement Planning'!$J$49-'Retirement Planning'!$J$48)*'Retirement Planning'!$I$49)+MIN(((SUM(Z231:Z242)-'Retirement Planning'!$I$53-'Retirement Planning'!$I$54))*'Retirement Planning'!$I$48,('Retirement Planning'!$J$48)*'Retirement Planning'!$I$48))+(IF((SUM(Z231:Z242)-'Retirement Planning'!$I$54-'Retirement Planning'!$I$61)&gt;'Retirement Planning'!$J$59,(SUM(Z231:Z242)-'Retirement Planning'!$I$54-'Retirement Planning'!$I$61-'Retirement Planning'!$J$59)*'Retirement Planning'!$I$60+'Retirement Planning'!$K$59,IF((SUM(Z231:Z242)-'Retirement Planning'!$I$54-'Retirement Planning'!$I$61)&gt;'Retirement Planning'!$J$58,(SUM(Z231:Z242)-'Retirement Planning'!$I$54-'Retirement Planning'!$I$61-'Retirement Planning'!$J$58)*'Retirement Planning'!$I$59+'Retirement Planning'!$K$58,IF((SUM(Z231:Z242)-'Retirement Planning'!$I$54-'Retirement Planning'!$I$61)&gt;'Retirement Planning'!$J$57,(SUM(Z231:Z242)-'Retirement Planning'!$I$54-'Retirement Planning'!$I$61-'Retirement Planning'!$J$57)*'Retirement Planning'!$I$58+'Retirement Planning'!$K$57,IF((SUM(Z231:Z242)-'Retirement Planning'!$I$54-'Retirement Planning'!$I$61)&gt;'Retirement Planning'!$J$56,(SUM(Z231:Z242)-'Retirement Planning'!$I$54-'Retirement Planning'!$I$61-'Retirement Planning'!$J$56)*'Retirement Planning'!$I$57+'Retirement Planning'!$K$56,(SUM(Z231:Z242)-'Retirement Planning'!$I$54-'Retirement Planning'!$I$61)*'Retirement Planning'!$I$56))))))/12,AA242)</f>
        <v>2446.8254915864004</v>
      </c>
      <c r="AB243" s="104">
        <f t="shared" ca="1" si="106"/>
        <v>0.23622245455956417</v>
      </c>
      <c r="AC243" s="7">
        <f>IF(B243&lt;65,'Retirement Planning'!$J$28,0)</f>
        <v>0</v>
      </c>
      <c r="AD243" s="7">
        <f>IF(B243&lt;65,'Retirement Planning'!$J$29/12,0)</f>
        <v>0</v>
      </c>
      <c r="AE243" s="22">
        <f>'Retirement Planning'!$J$31/12</f>
        <v>58.333333333333336</v>
      </c>
      <c r="AF243" s="22">
        <f>'Retirement Planning'!$J$32/12</f>
        <v>66.666666666666671</v>
      </c>
      <c r="AG243" s="7">
        <f>IF($B243&gt;64.9,'Retirement Planning'!$J$39/12,0)</f>
        <v>183.33333333333334</v>
      </c>
      <c r="AH243" s="7">
        <f>IF($B243&gt;64.9,'Retirement Planning'!$J$40/12,0)</f>
        <v>258.33333333333331</v>
      </c>
      <c r="AI243" s="7">
        <f>IF($B243&gt;64.9,'Retirement Planning'!$J$41/12,0)</f>
        <v>558.33333333333337</v>
      </c>
      <c r="AJ243" s="7">
        <f t="shared" ca="1" si="89"/>
        <v>316.66666666666663</v>
      </c>
      <c r="AK243" s="3" t="str">
        <f t="shared" ca="1" si="90"/>
        <v>N/A</v>
      </c>
      <c r="AL243" s="6" t="str">
        <f t="shared" ca="1" si="91"/>
        <v>N/A</v>
      </c>
      <c r="AM243" s="7">
        <f t="shared" ca="1" si="92"/>
        <v>1.1368683772161603E-12</v>
      </c>
      <c r="AN243" s="7">
        <f t="shared" ca="1" si="93"/>
        <v>13552.545328044042</v>
      </c>
      <c r="AO243" s="7">
        <f t="shared" si="94"/>
        <v>1125</v>
      </c>
    </row>
    <row r="244" spans="1:41" x14ac:dyDescent="0.2">
      <c r="A244">
        <f t="shared" si="95"/>
        <v>50</v>
      </c>
      <c r="B244" s="5">
        <f t="shared" si="96"/>
        <v>75.8</v>
      </c>
      <c r="C244" s="56">
        <f t="shared" si="97"/>
        <v>53540</v>
      </c>
      <c r="D244" s="57">
        <f ca="1">IF(AND(B243&lt;59.5,OR(B244&gt;59.5,B244=59.5)),(D243-E243+J243-K243)*(1+'Retirement Planning'!$J$23/12),(D243-E243)*(1+'Retirement Planning'!$J$23/12))</f>
        <v>499491.78489417973</v>
      </c>
      <c r="E244" s="58">
        <f t="shared" ca="1" si="84"/>
        <v>1307.5561506573176</v>
      </c>
      <c r="F244" s="57">
        <f ca="1">IF(AND(OR(B244&gt;59.5,B244=59.5),B243&lt;59.5),(F243-G243+L243-M243+N243-O243)*(1+'Retirement Planning'!$J$23/12),(F243-G243)*(1+'Retirement Planning'!$J$23/12))</f>
        <v>1408124.2770661437</v>
      </c>
      <c r="G244" s="58">
        <f ca="1">IF(AND($B$10&lt;55,B244&lt;59.5),'Retirement Planning'!$J$25,IF(OR(B244&gt;59.5,B244=59.5),MAX(0,MIN(F244,IF(D244&lt;2500,((Y244+AJ244+AA244))-X244,((Y244+AJ244+AA244)*'Retirement Planning'!$J$44)-X244))),0))</f>
        <v>9109.2117157156736</v>
      </c>
      <c r="H244" s="255">
        <f ca="1">IF(MONTH(C244)=1,IF(B244&gt;69.5,F244/(INDEX('Retirement Planning'!D$1:D$264,(160+INT(B244))))/12,0),IF(F244=0,0,H243))</f>
        <v>8290.0495001760064</v>
      </c>
      <c r="I244" s="262">
        <f t="shared" ca="1" si="85"/>
        <v>0</v>
      </c>
      <c r="J244" s="254">
        <f ca="1">IF(AND(B243&lt;59.5,OR(B244=59.5,B244&gt;59.5)),0,(J243-K243)*(1+'Retirement Planning'!$J$23/12))</f>
        <v>0</v>
      </c>
      <c r="K244" s="58">
        <f t="shared" ca="1" si="86"/>
        <v>0</v>
      </c>
      <c r="L244" s="57">
        <f>IF(AND(OR(B244&gt;59.5,B244=59.5),B243&lt;59.5),0,(L243-M243)*(1+'Retirement Planning'!$J$23/12))</f>
        <v>0</v>
      </c>
      <c r="M244" s="59">
        <f>IF(AND($B$10&lt;55,B244&lt;59.5),0,IF(B244&lt;59.5,MAX(0,MIN((($Y244+$AJ244+AA244)*'Retirement Planning'!$J$44)-$G244-$X244,L244)),0))</f>
        <v>0</v>
      </c>
      <c r="N244" s="57">
        <f ca="1">(N243-O243)*(1+'Retirement Planning'!$J$23/12)</f>
        <v>0</v>
      </c>
      <c r="O244" s="59">
        <f ca="1">IF(B244&gt;59.5,MAX(0,MIN((AA244+$Y244+$AJ244)*(IF(D244&lt;(MIN(E232:E243)+1),1,'Retirement Planning'!$J$44))-M244-$G244-$X244-(IF(D244&lt;(MIN(E232:E243)+1),D244,0)),N244)),0)</f>
        <v>0</v>
      </c>
      <c r="P244" s="57">
        <f t="shared" si="98"/>
        <v>0</v>
      </c>
      <c r="Q244" s="58">
        <f t="shared" si="99"/>
        <v>0</v>
      </c>
      <c r="R244" s="57">
        <f ca="1">(R243-S243-T243)*(1+'Retirement Planning'!$J$23/12)</f>
        <v>574191.58785732556</v>
      </c>
      <c r="S244" s="58">
        <f t="shared" ca="1" si="100"/>
        <v>808.33333333333337</v>
      </c>
      <c r="T244" s="273">
        <f t="shared" ca="1" si="87"/>
        <v>1.1368683772161603E-12</v>
      </c>
      <c r="U244" s="57">
        <f ca="1">(U243-V243)*(1+'Retirement Planning'!$J$23/12)</f>
        <v>412523.8455942283</v>
      </c>
      <c r="V244" s="24">
        <f ca="1">IF(AND($B$10&lt;55,B244&lt;59.5),MIN(U244,MAX(0,(Y244+AA244+AJ244-G244)*'Retirement Planning'!$J$45)),IF(B244&lt;59.5,(MIN(U244,MAX(0,((Y244+AA244+AJ244)-G244-M244)*'Retirement Planning'!$J$45))),MIN(U244,MAX(0,(Y244+AA244+AJ244-G244-M244-K244-X244)*'Retirement Planning'!$J$45))))</f>
        <v>1113.8441283377156</v>
      </c>
      <c r="W244" s="7">
        <f t="shared" ca="1" si="88"/>
        <v>2894331.4954118775</v>
      </c>
      <c r="X244" s="7">
        <f>(IF(B244&gt;'Retirement Planning'!$J$34,IF('Retirement Planning'!$J$34=70,'Retirement Planning'!$J$37/12,IF('Retirement Planning'!$J$34=67,'Retirement Planning'!$J$36/12,'Retirement Planning'!$J$35/12)),0))*'Retirement Planning'!$J$38</f>
        <v>1213.6000000000001</v>
      </c>
      <c r="Y244" s="7">
        <f ca="1">'Retirement Planning'!$F$35*((1+'Retirement Planning'!$J$24)^(YEAR('Projected Retirement Drawdown'!C244)-YEAR(TODAY())))</f>
        <v>9980.7198364576416</v>
      </c>
      <c r="Z244" s="7">
        <f ca="1">G244+M244+O244+0.85*X244+V244*'Retirement Planning'!$J$46+T244</f>
        <v>10753.385986301419</v>
      </c>
      <c r="AA244" s="7">
        <f ca="1">IF(MONTH(C244)=1,(((MIN(MAX(0,((SUM(Z232:Z243)-'Retirement Planning'!$I$53-'Retirement Planning'!$I$54)-'Retirement Planning'!$J$51)*'Retirement Planning'!$I$52))))+(MIN(MAX(0,((SUM(Z232:Z243)-'Retirement Planning'!$I$53-'Retirement Planning'!$I$54)-'Retirement Planning'!$J$50)*'Retirement Planning'!$I$51),('Retirement Planning'!$J$51-'Retirement Planning'!$J$50)*'Retirement Planning'!$I$51))+(MIN(MAX(0,((SUM(Z232:Z243)-'Retirement Planning'!$I$53-'Retirement Planning'!$I$54)-'Retirement Planning'!$J$49)*'Retirement Planning'!$I$50),('Retirement Planning'!$J$50-'Retirement Planning'!$J$49)*'Retirement Planning'!$I$50)+MIN(MAX(0,((SUM(Z232:Z243)-'Retirement Planning'!$I$53-'Retirement Planning'!$I$54)-'Retirement Planning'!$J$48)*'Retirement Planning'!$I$49),('Retirement Planning'!$J$49-'Retirement Planning'!$J$48)*'Retirement Planning'!$I$49)+MIN(((SUM(Z232:Z243)-'Retirement Planning'!$I$53-'Retirement Planning'!$I$54))*'Retirement Planning'!$I$48,('Retirement Planning'!$J$48)*'Retirement Planning'!$I$48))+(IF((SUM(Z232:Z243)-'Retirement Planning'!$I$54-'Retirement Planning'!$I$61)&gt;'Retirement Planning'!$J$59,(SUM(Z232:Z243)-'Retirement Planning'!$I$54-'Retirement Planning'!$I$61-'Retirement Planning'!$J$59)*'Retirement Planning'!$I$60+'Retirement Planning'!$K$59,IF((SUM(Z232:Z243)-'Retirement Planning'!$I$54-'Retirement Planning'!$I$61)&gt;'Retirement Planning'!$J$58,(SUM(Z232:Z243)-'Retirement Planning'!$I$54-'Retirement Planning'!$I$61-'Retirement Planning'!$J$58)*'Retirement Planning'!$I$59+'Retirement Planning'!$K$58,IF((SUM(Z232:Z243)-'Retirement Planning'!$I$54-'Retirement Planning'!$I$61)&gt;'Retirement Planning'!$J$57,(SUM(Z232:Z243)-'Retirement Planning'!$I$54-'Retirement Planning'!$I$61-'Retirement Planning'!$J$57)*'Retirement Planning'!$I$58+'Retirement Planning'!$K$57,IF((SUM(Z232:Z243)-'Retirement Planning'!$I$54-'Retirement Planning'!$I$61)&gt;'Retirement Planning'!$J$56,(SUM(Z232:Z243)-'Retirement Planning'!$I$54-'Retirement Planning'!$I$61-'Retirement Planning'!$J$56)*'Retirement Planning'!$I$57+'Retirement Planning'!$K$56,(SUM(Z232:Z243)-'Retirement Planning'!$I$54-'Retirement Planning'!$I$61)*'Retirement Planning'!$I$56))))))/12,AA243)</f>
        <v>2446.8254915864004</v>
      </c>
      <c r="AB244" s="104">
        <f t="shared" ca="1" si="106"/>
        <v>0.23622245455956417</v>
      </c>
      <c r="AC244" s="7">
        <f>IF(B244&lt;65,'Retirement Planning'!$J$28,0)</f>
        <v>0</v>
      </c>
      <c r="AD244" s="7">
        <f>IF(B244&lt;65,'Retirement Planning'!$J$29/12,0)</f>
        <v>0</v>
      </c>
      <c r="AE244" s="22">
        <f>'Retirement Planning'!$J$31/12</f>
        <v>58.333333333333336</v>
      </c>
      <c r="AF244" s="22">
        <f>'Retirement Planning'!$J$32/12</f>
        <v>66.666666666666671</v>
      </c>
      <c r="AG244" s="7">
        <f>IF($B244&gt;64.9,'Retirement Planning'!$J$39/12,0)</f>
        <v>183.33333333333334</v>
      </c>
      <c r="AH244" s="7">
        <f>IF($B244&gt;64.9,'Retirement Planning'!$J$40/12,0)</f>
        <v>258.33333333333331</v>
      </c>
      <c r="AI244" s="7">
        <f>IF($B244&gt;64.9,'Retirement Planning'!$J$41/12,0)</f>
        <v>558.33333333333337</v>
      </c>
      <c r="AJ244" s="7">
        <f t="shared" ca="1" si="89"/>
        <v>316.66666666666663</v>
      </c>
      <c r="AK244" s="3" t="str">
        <f t="shared" ca="1" si="90"/>
        <v>N/A</v>
      </c>
      <c r="AL244" s="6" t="str">
        <f t="shared" ca="1" si="91"/>
        <v>N/A</v>
      </c>
      <c r="AM244" s="7">
        <f t="shared" ca="1" si="92"/>
        <v>1.1368683772161603E-12</v>
      </c>
      <c r="AN244" s="7">
        <f t="shared" ca="1" si="93"/>
        <v>13552.545328044042</v>
      </c>
      <c r="AO244" s="7">
        <f t="shared" si="94"/>
        <v>1125</v>
      </c>
    </row>
    <row r="245" spans="1:41" x14ac:dyDescent="0.2">
      <c r="A245">
        <f t="shared" si="95"/>
        <v>50</v>
      </c>
      <c r="B245" s="5">
        <f t="shared" si="96"/>
        <v>75.900000000000006</v>
      </c>
      <c r="C245" s="56">
        <f t="shared" si="97"/>
        <v>53571</v>
      </c>
      <c r="D245" s="57">
        <f ca="1">IF(AND(B244&lt;59.5,OR(B245&gt;59.5,B245=59.5)),(D244-E244+J244-K244)*(1+'Retirement Planning'!$J$23/12),(D244-E244)*(1+'Retirement Planning'!$J$23/12))</f>
        <v>501713.03369712236</v>
      </c>
      <c r="E245" s="58">
        <f t="shared" ca="1" si="84"/>
        <v>1307.5561506573176</v>
      </c>
      <c r="F245" s="57">
        <f ca="1">IF(AND(OR(B245&gt;59.5,B245=59.5),B244&lt;59.5),(F244-G244+L244-M244+N244-O244)*(1+'Retirement Planning'!$J$23/12),(F244-G244)*(1+'Retirement Planning'!$J$23/12))</f>
        <v>1408924.7553966602</v>
      </c>
      <c r="G245" s="58">
        <f ca="1">IF(AND($B$10&lt;55,B245&lt;59.5),'Retirement Planning'!$J$25,IF(OR(B245&gt;59.5,B245=59.5),MAX(0,MIN(F245,IF(D245&lt;2500,((Y245+AJ245+AA245))-X245,((Y245+AJ245+AA245)*'Retirement Planning'!$J$44)-X245))),0))</f>
        <v>9109.2117157156736</v>
      </c>
      <c r="H245" s="255">
        <f ca="1">IF(MONTH(C245)=1,IF(B245&gt;69.5,F245/(INDEX('Retirement Planning'!D$1:D$264,(160+INT(B245))))/12,0),IF(F245=0,0,H244))</f>
        <v>8290.0495001760064</v>
      </c>
      <c r="I245" s="262">
        <f t="shared" ca="1" si="85"/>
        <v>0</v>
      </c>
      <c r="J245" s="254">
        <f ca="1">IF(AND(B244&lt;59.5,OR(B245=59.5,B245&gt;59.5)),0,(J244-K244)*(1+'Retirement Planning'!$J$23/12))</f>
        <v>0</v>
      </c>
      <c r="K245" s="58">
        <f t="shared" ca="1" si="86"/>
        <v>0</v>
      </c>
      <c r="L245" s="57">
        <f>IF(AND(OR(B245&gt;59.5,B245=59.5),B244&lt;59.5),0,(L244-M244)*(1+'Retirement Planning'!$J$23/12))</f>
        <v>0</v>
      </c>
      <c r="M245" s="59">
        <f>IF(AND($B$10&lt;55,B245&lt;59.5),0,IF(B245&lt;59.5,MAX(0,MIN((($Y245+$AJ245+AA245)*'Retirement Planning'!$J$44)-$G245-$X245,L245)),0))</f>
        <v>0</v>
      </c>
      <c r="N245" s="57">
        <f ca="1">(N244-O244)*(1+'Retirement Planning'!$J$23/12)</f>
        <v>0</v>
      </c>
      <c r="O245" s="59">
        <f ca="1">IF(B245&gt;59.5,MAX(0,MIN((AA245+$Y245+$AJ245)*(IF(D245&lt;(MIN(E233:E244)+1),1,'Retirement Planning'!$J$44))-M245-$G245-$X245-(IF(D245&lt;(MIN(E233:E244)+1),D245,0)),N245)),0)</f>
        <v>0</v>
      </c>
      <c r="P245" s="57">
        <f t="shared" si="98"/>
        <v>0</v>
      </c>
      <c r="Q245" s="58">
        <f t="shared" si="99"/>
        <v>0</v>
      </c>
      <c r="R245" s="57">
        <f ca="1">(R244-S244-T244)*(1+'Retirement Planning'!$J$23/12)</f>
        <v>577444.71924353717</v>
      </c>
      <c r="S245" s="58">
        <f t="shared" ca="1" si="100"/>
        <v>808.33333333333337</v>
      </c>
      <c r="T245" s="273">
        <f t="shared" ca="1" si="87"/>
        <v>1.1368683772161603E-12</v>
      </c>
      <c r="U245" s="57">
        <f ca="1">(U244-V244)*(1+'Retirement Planning'!$J$23/12)</f>
        <v>414324.15564294066</v>
      </c>
      <c r="V245" s="24">
        <f ca="1">IF(AND($B$10&lt;55,B245&lt;59.5),MIN(U245,MAX(0,(Y245+AA245+AJ245-G245)*'Retirement Planning'!$J$45)),IF(B245&lt;59.5,(MIN(U245,MAX(0,((Y245+AA245+AJ245)-G245-M245)*'Retirement Planning'!$J$45))),MIN(U245,MAX(0,(Y245+AA245+AJ245-G245-M245-K245-X245)*'Retirement Planning'!$J$45))))</f>
        <v>1113.8441283377156</v>
      </c>
      <c r="W245" s="7">
        <f t="shared" ca="1" si="88"/>
        <v>2902406.6639802605</v>
      </c>
      <c r="X245" s="7">
        <f>(IF(B245&gt;'Retirement Planning'!$J$34,IF('Retirement Planning'!$J$34=70,'Retirement Planning'!$J$37/12,IF('Retirement Planning'!$J$34=67,'Retirement Planning'!$J$36/12,'Retirement Planning'!$J$35/12)),0))*'Retirement Planning'!$J$38</f>
        <v>1213.6000000000001</v>
      </c>
      <c r="Y245" s="7">
        <f ca="1">'Retirement Planning'!$F$35*((1+'Retirement Planning'!$J$24)^(YEAR('Projected Retirement Drawdown'!C245)-YEAR(TODAY())))</f>
        <v>9980.7198364576416</v>
      </c>
      <c r="Z245" s="7">
        <f ca="1">G245+M245+O245+0.85*X245+V245*'Retirement Planning'!$J$46+T245</f>
        <v>10753.385986301419</v>
      </c>
      <c r="AA245" s="7">
        <f ca="1">IF(MONTH(C245)=1,(((MIN(MAX(0,((SUM(Z233:Z244)-'Retirement Planning'!$I$53-'Retirement Planning'!$I$54)-'Retirement Planning'!$J$51)*'Retirement Planning'!$I$52))))+(MIN(MAX(0,((SUM(Z233:Z244)-'Retirement Planning'!$I$53-'Retirement Planning'!$I$54)-'Retirement Planning'!$J$50)*'Retirement Planning'!$I$51),('Retirement Planning'!$J$51-'Retirement Planning'!$J$50)*'Retirement Planning'!$I$51))+(MIN(MAX(0,((SUM(Z233:Z244)-'Retirement Planning'!$I$53-'Retirement Planning'!$I$54)-'Retirement Planning'!$J$49)*'Retirement Planning'!$I$50),('Retirement Planning'!$J$50-'Retirement Planning'!$J$49)*'Retirement Planning'!$I$50)+MIN(MAX(0,((SUM(Z233:Z244)-'Retirement Planning'!$I$53-'Retirement Planning'!$I$54)-'Retirement Planning'!$J$48)*'Retirement Planning'!$I$49),('Retirement Planning'!$J$49-'Retirement Planning'!$J$48)*'Retirement Planning'!$I$49)+MIN(((SUM(Z233:Z244)-'Retirement Planning'!$I$53-'Retirement Planning'!$I$54))*'Retirement Planning'!$I$48,('Retirement Planning'!$J$48)*'Retirement Planning'!$I$48))+(IF((SUM(Z233:Z244)-'Retirement Planning'!$I$54-'Retirement Planning'!$I$61)&gt;'Retirement Planning'!$J$59,(SUM(Z233:Z244)-'Retirement Planning'!$I$54-'Retirement Planning'!$I$61-'Retirement Planning'!$J$59)*'Retirement Planning'!$I$60+'Retirement Planning'!$K$59,IF((SUM(Z233:Z244)-'Retirement Planning'!$I$54-'Retirement Planning'!$I$61)&gt;'Retirement Planning'!$J$58,(SUM(Z233:Z244)-'Retirement Planning'!$I$54-'Retirement Planning'!$I$61-'Retirement Planning'!$J$58)*'Retirement Planning'!$I$59+'Retirement Planning'!$K$58,IF((SUM(Z233:Z244)-'Retirement Planning'!$I$54-'Retirement Planning'!$I$61)&gt;'Retirement Planning'!$J$57,(SUM(Z233:Z244)-'Retirement Planning'!$I$54-'Retirement Planning'!$I$61-'Retirement Planning'!$J$57)*'Retirement Planning'!$I$58+'Retirement Planning'!$K$57,IF((SUM(Z233:Z244)-'Retirement Planning'!$I$54-'Retirement Planning'!$I$61)&gt;'Retirement Planning'!$J$56,(SUM(Z233:Z244)-'Retirement Planning'!$I$54-'Retirement Planning'!$I$61-'Retirement Planning'!$J$56)*'Retirement Planning'!$I$57+'Retirement Planning'!$K$56,(SUM(Z233:Z244)-'Retirement Planning'!$I$54-'Retirement Planning'!$I$61)*'Retirement Planning'!$I$56))))))/12,AA244)</f>
        <v>2446.8254915864004</v>
      </c>
      <c r="AB245" s="104">
        <f t="shared" ca="1" si="106"/>
        <v>0.23622245455956417</v>
      </c>
      <c r="AC245" s="7">
        <f>IF(B245&lt;65,'Retirement Planning'!$J$28,0)</f>
        <v>0</v>
      </c>
      <c r="AD245" s="7">
        <f>IF(B245&lt;65,'Retirement Planning'!$J$29/12,0)</f>
        <v>0</v>
      </c>
      <c r="AE245" s="22">
        <f>'Retirement Planning'!$J$31/12</f>
        <v>58.333333333333336</v>
      </c>
      <c r="AF245" s="22">
        <f>'Retirement Planning'!$J$32/12</f>
        <v>66.666666666666671</v>
      </c>
      <c r="AG245" s="7">
        <f>IF($B245&gt;64.9,'Retirement Planning'!$J$39/12,0)</f>
        <v>183.33333333333334</v>
      </c>
      <c r="AH245" s="7">
        <f>IF($B245&gt;64.9,'Retirement Planning'!$J$40/12,0)</f>
        <v>258.33333333333331</v>
      </c>
      <c r="AI245" s="7">
        <f>IF($B245&gt;64.9,'Retirement Planning'!$J$41/12,0)</f>
        <v>558.33333333333337</v>
      </c>
      <c r="AJ245" s="7">
        <f t="shared" ca="1" si="89"/>
        <v>316.66666666666663</v>
      </c>
      <c r="AK245" s="3" t="str">
        <f t="shared" ca="1" si="90"/>
        <v>N/A</v>
      </c>
      <c r="AL245" s="6" t="str">
        <f t="shared" ca="1" si="91"/>
        <v>N/A</v>
      </c>
      <c r="AM245" s="7">
        <f t="shared" ca="1" si="92"/>
        <v>1.1368683772161603E-12</v>
      </c>
      <c r="AN245" s="7">
        <f t="shared" ca="1" si="93"/>
        <v>13552.545328044042</v>
      </c>
      <c r="AO245" s="7">
        <f t="shared" si="94"/>
        <v>1125</v>
      </c>
    </row>
    <row r="246" spans="1:41" x14ac:dyDescent="0.2">
      <c r="A246">
        <f t="shared" si="95"/>
        <v>50</v>
      </c>
      <c r="B246" s="5">
        <f t="shared" si="96"/>
        <v>76</v>
      </c>
      <c r="C246" s="56">
        <f t="shared" si="97"/>
        <v>53601</v>
      </c>
      <c r="D246" s="57">
        <f ca="1">IF(AND(B245&lt;59.5,OR(B246&gt;59.5,B246=59.5)),(D245-E245+J245-K245)*(1+'Retirement Planning'!$J$23/12),(D245-E245)*(1+'Retirement Planning'!$J$23/12))</f>
        <v>503950.01634575252</v>
      </c>
      <c r="E246" s="58">
        <f t="shared" ca="1" si="84"/>
        <v>1307.5561506573176</v>
      </c>
      <c r="F246" s="57">
        <f ca="1">IF(AND(OR(B246&gt;59.5,B246=59.5),B245&lt;59.5),(F245-G245+L245-M245+N245-O245)*(1+'Retirement Planning'!$J$23/12),(F245-G245)*(1+'Retirement Planning'!$J$23/12))</f>
        <v>1409730.9037820178</v>
      </c>
      <c r="G246" s="58">
        <f ca="1">IF(AND($B$10&lt;55,B246&lt;59.5),'Retirement Planning'!$J$25,IF(OR(B246&gt;59.5,B246=59.5),MAX(0,MIN(F246,IF(D246&lt;2500,((Y246+AJ246+AA246))-X246,((Y246+AJ246+AA246)*'Retirement Planning'!$J$44)-X246))),0))</f>
        <v>9109.2117157156736</v>
      </c>
      <c r="H246" s="255">
        <f ca="1">IF(MONTH(C246)=1,IF(B246&gt;69.5,F246/(INDEX('Retirement Planning'!D$1:D$264,(160+INT(B246))))/12,0),IF(F246=0,0,H245))</f>
        <v>8290.0495001760064</v>
      </c>
      <c r="I246" s="262">
        <f t="shared" ca="1" si="85"/>
        <v>0</v>
      </c>
      <c r="J246" s="254">
        <f ca="1">IF(AND(B245&lt;59.5,OR(B246=59.5,B246&gt;59.5)),0,(J245-K245)*(1+'Retirement Planning'!$J$23/12))</f>
        <v>0</v>
      </c>
      <c r="K246" s="58">
        <f t="shared" ca="1" si="86"/>
        <v>0</v>
      </c>
      <c r="L246" s="57">
        <f>IF(AND(OR(B246&gt;59.5,B246=59.5),B245&lt;59.5),0,(L245-M245)*(1+'Retirement Planning'!$J$23/12))</f>
        <v>0</v>
      </c>
      <c r="M246" s="59">
        <f>IF(AND($B$10&lt;55,B246&lt;59.5),0,IF(B246&lt;59.5,MAX(0,MIN((($Y246+$AJ246+AA246)*'Retirement Planning'!$J$44)-$G246-$X246,L246)),0))</f>
        <v>0</v>
      </c>
      <c r="N246" s="57">
        <f ca="1">(N245-O245)*(1+'Retirement Planning'!$J$23/12)</f>
        <v>0</v>
      </c>
      <c r="O246" s="59">
        <f ca="1">IF(B246&gt;59.5,MAX(0,MIN((AA246+$Y246+$AJ246)*(IF(D246&lt;(MIN(E234:E245)+1),1,'Retirement Planning'!$J$44))-M246-$G246-$X246-(IF(D246&lt;(MIN(E234:E245)+1),D246,0)),N246)),0)</f>
        <v>0</v>
      </c>
      <c r="P246" s="57">
        <f t="shared" si="98"/>
        <v>0</v>
      </c>
      <c r="Q246" s="58">
        <f t="shared" si="99"/>
        <v>0</v>
      </c>
      <c r="R246" s="57">
        <f ca="1">(R245-S245-T245)*(1+'Retirement Planning'!$J$23/12)</f>
        <v>580720.89364373439</v>
      </c>
      <c r="S246" s="58">
        <f t="shared" ca="1" si="100"/>
        <v>808.33333333333337</v>
      </c>
      <c r="T246" s="273">
        <f t="shared" ca="1" si="87"/>
        <v>1.1368683772161603E-12</v>
      </c>
      <c r="U246" s="57">
        <f ca="1">(U245-V245)*(1+'Retirement Planning'!$J$23/12)</f>
        <v>416137.21788783139</v>
      </c>
      <c r="V246" s="24">
        <f ca="1">IF(AND($B$10&lt;55,B246&lt;59.5),MIN(U246,MAX(0,(Y246+AA246+AJ246-G246)*'Retirement Planning'!$J$45)),IF(B246&lt;59.5,(MIN(U246,MAX(0,((Y246+AA246+AJ246)-G246-M246)*'Retirement Planning'!$J$45))),MIN(U246,MAX(0,(Y246+AA246+AJ246-G246-M246-K246-X246)*'Retirement Planning'!$J$45))))</f>
        <v>1113.8441283377156</v>
      </c>
      <c r="W246" s="7">
        <f t="shared" ca="1" si="88"/>
        <v>2910539.0316593363</v>
      </c>
      <c r="X246" s="7">
        <f>(IF(B246&gt;'Retirement Planning'!$J$34,IF('Retirement Planning'!$J$34=70,'Retirement Planning'!$J$37/12,IF('Retirement Planning'!$J$34=67,'Retirement Planning'!$J$36/12,'Retirement Planning'!$J$35/12)),0))*'Retirement Planning'!$J$38</f>
        <v>1213.6000000000001</v>
      </c>
      <c r="Y246" s="7">
        <f ca="1">'Retirement Planning'!$F$35*((1+'Retirement Planning'!$J$24)^(YEAR('Projected Retirement Drawdown'!C246)-YEAR(TODAY())))</f>
        <v>9980.7198364576416</v>
      </c>
      <c r="Z246" s="7">
        <f ca="1">G246+M246+O246+0.85*X246+V246*'Retirement Planning'!$J$46+T246</f>
        <v>10753.385986301419</v>
      </c>
      <c r="AA246" s="7">
        <f ca="1">IF(MONTH(C246)=1,(((MIN(MAX(0,((SUM(Z234:Z245)-'Retirement Planning'!$I$53-'Retirement Planning'!$I$54)-'Retirement Planning'!$J$51)*'Retirement Planning'!$I$52))))+(MIN(MAX(0,((SUM(Z234:Z245)-'Retirement Planning'!$I$53-'Retirement Planning'!$I$54)-'Retirement Planning'!$J$50)*'Retirement Planning'!$I$51),('Retirement Planning'!$J$51-'Retirement Planning'!$J$50)*'Retirement Planning'!$I$51))+(MIN(MAX(0,((SUM(Z234:Z245)-'Retirement Planning'!$I$53-'Retirement Planning'!$I$54)-'Retirement Planning'!$J$49)*'Retirement Planning'!$I$50),('Retirement Planning'!$J$50-'Retirement Planning'!$J$49)*'Retirement Planning'!$I$50)+MIN(MAX(0,((SUM(Z234:Z245)-'Retirement Planning'!$I$53-'Retirement Planning'!$I$54)-'Retirement Planning'!$J$48)*'Retirement Planning'!$I$49),('Retirement Planning'!$J$49-'Retirement Planning'!$J$48)*'Retirement Planning'!$I$49)+MIN(((SUM(Z234:Z245)-'Retirement Planning'!$I$53-'Retirement Planning'!$I$54))*'Retirement Planning'!$I$48,('Retirement Planning'!$J$48)*'Retirement Planning'!$I$48))+(IF((SUM(Z234:Z245)-'Retirement Planning'!$I$54-'Retirement Planning'!$I$61)&gt;'Retirement Planning'!$J$59,(SUM(Z234:Z245)-'Retirement Planning'!$I$54-'Retirement Planning'!$I$61-'Retirement Planning'!$J$59)*'Retirement Planning'!$I$60+'Retirement Planning'!$K$59,IF((SUM(Z234:Z245)-'Retirement Planning'!$I$54-'Retirement Planning'!$I$61)&gt;'Retirement Planning'!$J$58,(SUM(Z234:Z245)-'Retirement Planning'!$I$54-'Retirement Planning'!$I$61-'Retirement Planning'!$J$58)*'Retirement Planning'!$I$59+'Retirement Planning'!$K$58,IF((SUM(Z234:Z245)-'Retirement Planning'!$I$54-'Retirement Planning'!$I$61)&gt;'Retirement Planning'!$J$57,(SUM(Z234:Z245)-'Retirement Planning'!$I$54-'Retirement Planning'!$I$61-'Retirement Planning'!$J$57)*'Retirement Planning'!$I$58+'Retirement Planning'!$K$57,IF((SUM(Z234:Z245)-'Retirement Planning'!$I$54-'Retirement Planning'!$I$61)&gt;'Retirement Planning'!$J$56,(SUM(Z234:Z245)-'Retirement Planning'!$I$54-'Retirement Planning'!$I$61-'Retirement Planning'!$J$56)*'Retirement Planning'!$I$57+'Retirement Planning'!$K$56,(SUM(Z234:Z245)-'Retirement Planning'!$I$54-'Retirement Planning'!$I$61)*'Retirement Planning'!$I$56))))))/12,AA245)</f>
        <v>2446.8254915864004</v>
      </c>
      <c r="AB246" s="104">
        <f t="shared" ca="1" si="106"/>
        <v>0.23622245455956417</v>
      </c>
      <c r="AC246" s="7">
        <f>IF(B246&lt;65,'Retirement Planning'!$J$28,0)</f>
        <v>0</v>
      </c>
      <c r="AD246" s="7">
        <f>IF(B246&lt;65,'Retirement Planning'!$J$29/12,0)</f>
        <v>0</v>
      </c>
      <c r="AE246" s="22">
        <f>'Retirement Planning'!$J$31/12</f>
        <v>58.333333333333336</v>
      </c>
      <c r="AF246" s="22">
        <f>'Retirement Planning'!$J$32/12</f>
        <v>66.666666666666671</v>
      </c>
      <c r="AG246" s="7">
        <f>IF($B246&gt;64.9,'Retirement Planning'!$J$39/12,0)</f>
        <v>183.33333333333334</v>
      </c>
      <c r="AH246" s="7">
        <f>IF($B246&gt;64.9,'Retirement Planning'!$J$40/12,0)</f>
        <v>258.33333333333331</v>
      </c>
      <c r="AI246" s="7">
        <f>IF($B246&gt;64.9,'Retirement Planning'!$J$41/12,0)</f>
        <v>558.33333333333337</v>
      </c>
      <c r="AJ246" s="7">
        <f t="shared" ca="1" si="89"/>
        <v>316.66666666666663</v>
      </c>
      <c r="AK246" s="3" t="str">
        <f t="shared" ca="1" si="90"/>
        <v>N/A</v>
      </c>
      <c r="AL246" s="6" t="str">
        <f t="shared" ca="1" si="91"/>
        <v>N/A</v>
      </c>
      <c r="AM246" s="7">
        <f t="shared" ca="1" si="92"/>
        <v>1.1368683772161603E-12</v>
      </c>
      <c r="AN246" s="7">
        <f t="shared" ca="1" si="93"/>
        <v>13552.545328044042</v>
      </c>
      <c r="AO246" s="7">
        <f t="shared" si="94"/>
        <v>1125</v>
      </c>
    </row>
    <row r="247" spans="1:41" x14ac:dyDescent="0.2">
      <c r="A247">
        <f t="shared" si="95"/>
        <v>50</v>
      </c>
      <c r="B247" s="5">
        <f t="shared" si="96"/>
        <v>76</v>
      </c>
      <c r="C247" s="56">
        <f t="shared" si="97"/>
        <v>53632</v>
      </c>
      <c r="D247" s="57">
        <f ca="1">IF(AND(B246&lt;59.5,OR(B247&gt;59.5,B247=59.5)),(D246-E246+J246-K246)*(1+'Retirement Planning'!$J$23/12),(D246-E246)*(1+'Retirement Planning'!$J$23/12))</f>
        <v>506202.84428814379</v>
      </c>
      <c r="E247" s="58">
        <f t="shared" ca="1" si="84"/>
        <v>1307.5561506573176</v>
      </c>
      <c r="F247" s="57">
        <f ca="1">IF(AND(OR(B247&gt;59.5,B247=59.5),B246&lt;59.5),(F246-G246+L246-M246+N246-O246)*(1+'Retirement Planning'!$J$23/12),(F246-G246)*(1+'Retirement Planning'!$J$23/12))</f>
        <v>1410542.762385105</v>
      </c>
      <c r="G247" s="58">
        <f ca="1">IF(AND($B$10&lt;55,B247&lt;59.5),'Retirement Planning'!$J$25,IF(OR(B247&gt;59.5,B247=59.5),MAX(0,MIN(F247,IF(D247&lt;2500,((Y247+AJ247+AA247))-X247,((Y247+AJ247+AA247)*'Retirement Planning'!$J$44)-X247))),0))</f>
        <v>9109.2117157156736</v>
      </c>
      <c r="H247" s="255">
        <f ca="1">IF(MONTH(C247)=1,IF(B247&gt;69.5,F247/(INDEX('Retirement Planning'!D$1:D$264,(160+INT(B247))))/12,0),IF(F247=0,0,H246))</f>
        <v>8290.0495001760064</v>
      </c>
      <c r="I247" s="262">
        <f t="shared" ca="1" si="85"/>
        <v>0</v>
      </c>
      <c r="J247" s="254">
        <f ca="1">IF(AND(B246&lt;59.5,OR(B247=59.5,B247&gt;59.5)),0,(J246-K246)*(1+'Retirement Planning'!$J$23/12))</f>
        <v>0</v>
      </c>
      <c r="K247" s="58">
        <f t="shared" ca="1" si="86"/>
        <v>0</v>
      </c>
      <c r="L247" s="57">
        <f>IF(AND(OR(B247&gt;59.5,B247=59.5),B246&lt;59.5),0,(L246-M246)*(1+'Retirement Planning'!$J$23/12))</f>
        <v>0</v>
      </c>
      <c r="M247" s="59">
        <f>IF(AND($B$10&lt;55,B247&lt;59.5),0,IF(B247&lt;59.5,MAX(0,MIN((($Y247+$AJ247+AA247)*'Retirement Planning'!$J$44)-$G247-$X247,L247)),0))</f>
        <v>0</v>
      </c>
      <c r="N247" s="57">
        <f ca="1">(N246-O246)*(1+'Retirement Planning'!$J$23/12)</f>
        <v>0</v>
      </c>
      <c r="O247" s="59">
        <f ca="1">IF(B247&gt;59.5,MAX(0,MIN((AA247+$Y247+$AJ247)*(IF(D247&lt;(MIN(E235:E246)+1),1,'Retirement Planning'!$J$44))-M247-$G247-$X247-(IF(D247&lt;(MIN(E235:E246)+1),D247,0)),N247)),0)</f>
        <v>0</v>
      </c>
      <c r="P247" s="57">
        <f t="shared" si="98"/>
        <v>0</v>
      </c>
      <c r="Q247" s="58">
        <f t="shared" si="99"/>
        <v>0</v>
      </c>
      <c r="R247" s="57">
        <f ca="1">(R246-S246-T246)*(1+'Retirement Planning'!$J$23/12)</f>
        <v>584020.27427926636</v>
      </c>
      <c r="S247" s="58">
        <f t="shared" ca="1" si="100"/>
        <v>808.33333333333337</v>
      </c>
      <c r="T247" s="273">
        <f t="shared" ca="1" si="87"/>
        <v>1.1368683772161603E-12</v>
      </c>
      <c r="U247" s="57">
        <f ca="1">(U246-V246)*(1+'Retirement Planning'!$J$23/12)</f>
        <v>417963.12265695678</v>
      </c>
      <c r="V247" s="24">
        <f ca="1">IF(AND($B$10&lt;55,B247&lt;59.5),MIN(U247,MAX(0,(Y247+AA247+AJ247-G247)*'Retirement Planning'!$J$45)),IF(B247&lt;59.5,(MIN(U247,MAX(0,((Y247+AA247+AJ247)-G247-M247)*'Retirement Planning'!$J$45))),MIN(U247,MAX(0,(Y247+AA247+AJ247-G247-M247-K247-X247)*'Retirement Planning'!$J$45))))</f>
        <v>1113.8441283377156</v>
      </c>
      <c r="W247" s="7">
        <f t="shared" ca="1" si="88"/>
        <v>2918729.003609472</v>
      </c>
      <c r="X247" s="7">
        <f>(IF(B247&gt;'Retirement Planning'!$J$34,IF('Retirement Planning'!$J$34=70,'Retirement Planning'!$J$37/12,IF('Retirement Planning'!$J$34=67,'Retirement Planning'!$J$36/12,'Retirement Planning'!$J$35/12)),0))*'Retirement Planning'!$J$38</f>
        <v>1213.6000000000001</v>
      </c>
      <c r="Y247" s="7">
        <f ca="1">'Retirement Planning'!$F$35*((1+'Retirement Planning'!$J$24)^(YEAR('Projected Retirement Drawdown'!C247)-YEAR(TODAY())))</f>
        <v>9980.7198364576416</v>
      </c>
      <c r="Z247" s="7">
        <f ca="1">G247+M247+O247+0.85*X247+V247*'Retirement Planning'!$J$46+T247</f>
        <v>10753.385986301419</v>
      </c>
      <c r="AA247" s="7">
        <f ca="1">IF(MONTH(C247)=1,(((MIN(MAX(0,((SUM(Z235:Z246)-'Retirement Planning'!$I$53-'Retirement Planning'!$I$54)-'Retirement Planning'!$J$51)*'Retirement Planning'!$I$52))))+(MIN(MAX(0,((SUM(Z235:Z246)-'Retirement Planning'!$I$53-'Retirement Planning'!$I$54)-'Retirement Planning'!$J$50)*'Retirement Planning'!$I$51),('Retirement Planning'!$J$51-'Retirement Planning'!$J$50)*'Retirement Planning'!$I$51))+(MIN(MAX(0,((SUM(Z235:Z246)-'Retirement Planning'!$I$53-'Retirement Planning'!$I$54)-'Retirement Planning'!$J$49)*'Retirement Planning'!$I$50),('Retirement Planning'!$J$50-'Retirement Planning'!$J$49)*'Retirement Planning'!$I$50)+MIN(MAX(0,((SUM(Z235:Z246)-'Retirement Planning'!$I$53-'Retirement Planning'!$I$54)-'Retirement Planning'!$J$48)*'Retirement Planning'!$I$49),('Retirement Planning'!$J$49-'Retirement Planning'!$J$48)*'Retirement Planning'!$I$49)+MIN(((SUM(Z235:Z246)-'Retirement Planning'!$I$53-'Retirement Planning'!$I$54))*'Retirement Planning'!$I$48,('Retirement Planning'!$J$48)*'Retirement Planning'!$I$48))+(IF((SUM(Z235:Z246)-'Retirement Planning'!$I$54-'Retirement Planning'!$I$61)&gt;'Retirement Planning'!$J$59,(SUM(Z235:Z246)-'Retirement Planning'!$I$54-'Retirement Planning'!$I$61-'Retirement Planning'!$J$59)*'Retirement Planning'!$I$60+'Retirement Planning'!$K$59,IF((SUM(Z235:Z246)-'Retirement Planning'!$I$54-'Retirement Planning'!$I$61)&gt;'Retirement Planning'!$J$58,(SUM(Z235:Z246)-'Retirement Planning'!$I$54-'Retirement Planning'!$I$61-'Retirement Planning'!$J$58)*'Retirement Planning'!$I$59+'Retirement Planning'!$K$58,IF((SUM(Z235:Z246)-'Retirement Planning'!$I$54-'Retirement Planning'!$I$61)&gt;'Retirement Planning'!$J$57,(SUM(Z235:Z246)-'Retirement Planning'!$I$54-'Retirement Planning'!$I$61-'Retirement Planning'!$J$57)*'Retirement Planning'!$I$58+'Retirement Planning'!$K$57,IF((SUM(Z235:Z246)-'Retirement Planning'!$I$54-'Retirement Planning'!$I$61)&gt;'Retirement Planning'!$J$56,(SUM(Z235:Z246)-'Retirement Planning'!$I$54-'Retirement Planning'!$I$61-'Retirement Planning'!$J$56)*'Retirement Planning'!$I$57+'Retirement Planning'!$K$56,(SUM(Z235:Z246)-'Retirement Planning'!$I$54-'Retirement Planning'!$I$61)*'Retirement Planning'!$I$56))))))/12,AA246)</f>
        <v>2446.8254915864004</v>
      </c>
      <c r="AB247" s="104">
        <f t="shared" ca="1" si="106"/>
        <v>0.23622245455956417</v>
      </c>
      <c r="AC247" s="7">
        <f>IF(B247&lt;65,'Retirement Planning'!$J$28,0)</f>
        <v>0</v>
      </c>
      <c r="AD247" s="7">
        <f>IF(B247&lt;65,'Retirement Planning'!$J$29/12,0)</f>
        <v>0</v>
      </c>
      <c r="AE247" s="22">
        <f>'Retirement Planning'!$J$31/12</f>
        <v>58.333333333333336</v>
      </c>
      <c r="AF247" s="22">
        <f>'Retirement Planning'!$J$32/12</f>
        <v>66.666666666666671</v>
      </c>
      <c r="AG247" s="7">
        <f>IF($B247&gt;64.9,'Retirement Planning'!$J$39/12,0)</f>
        <v>183.33333333333334</v>
      </c>
      <c r="AH247" s="7">
        <f>IF($B247&gt;64.9,'Retirement Planning'!$J$40/12,0)</f>
        <v>258.33333333333331</v>
      </c>
      <c r="AI247" s="7">
        <f>IF($B247&gt;64.9,'Retirement Planning'!$J$41/12,0)</f>
        <v>558.33333333333337</v>
      </c>
      <c r="AJ247" s="7">
        <f t="shared" ca="1" si="89"/>
        <v>316.66666666666663</v>
      </c>
      <c r="AK247" s="3" t="str">
        <f t="shared" ca="1" si="90"/>
        <v>N/A</v>
      </c>
      <c r="AL247" s="6" t="str">
        <f t="shared" ca="1" si="91"/>
        <v>N/A</v>
      </c>
      <c r="AM247" s="7">
        <f t="shared" ca="1" si="92"/>
        <v>1.1368683772161603E-12</v>
      </c>
      <c r="AN247" s="7">
        <f t="shared" ca="1" si="93"/>
        <v>13552.545328044042</v>
      </c>
      <c r="AO247" s="7">
        <f t="shared" si="94"/>
        <v>1125</v>
      </c>
    </row>
    <row r="248" spans="1:41" x14ac:dyDescent="0.2">
      <c r="A248">
        <f t="shared" si="95"/>
        <v>50</v>
      </c>
      <c r="B248" s="5">
        <f t="shared" si="96"/>
        <v>76.099999999999994</v>
      </c>
      <c r="C248" s="56">
        <f t="shared" si="97"/>
        <v>53662</v>
      </c>
      <c r="D248" s="57">
        <f ca="1">IF(AND(B247&lt;59.5,OR(B248&gt;59.5,B248=59.5)),(D247-E247+J247-K247)*(1+'Retirement Planning'!$J$23/12),(D247-E247)*(1+'Retirement Planning'!$J$23/12))</f>
        <v>508471.62976179371</v>
      </c>
      <c r="E248" s="58">
        <f t="shared" ca="1" si="84"/>
        <v>1307.5561506573176</v>
      </c>
      <c r="F248" s="57">
        <f ca="1">IF(AND(OR(B248&gt;59.5,B248=59.5),B247&lt;59.5),(F247-G247+L247-M247+N247-O247)*(1+'Retirement Planning'!$J$23/12),(F247-G247)*(1+'Retirement Planning'!$J$23/12))</f>
        <v>1411360.3716532975</v>
      </c>
      <c r="G248" s="58">
        <f ca="1">IF(AND($B$10&lt;55,B248&lt;59.5),'Retirement Planning'!$J$25,IF(OR(B248&gt;59.5,B248=59.5),MAX(0,MIN(F248,IF(D248&lt;2500,((Y248+AJ248+AA248))-X248,((Y248+AJ248+AA248)*'Retirement Planning'!$J$44)-X248))),0))</f>
        <v>9109.2117157156736</v>
      </c>
      <c r="H248" s="255">
        <f ca="1">IF(MONTH(C248)=1,IF(B248&gt;69.5,F248/(INDEX('Retirement Planning'!D$1:D$264,(160+INT(B248))))/12,0),IF(F248=0,0,H247))</f>
        <v>8290.0495001760064</v>
      </c>
      <c r="I248" s="262">
        <f t="shared" ca="1" si="85"/>
        <v>0</v>
      </c>
      <c r="J248" s="254">
        <f ca="1">IF(AND(B247&lt;59.5,OR(B248=59.5,B248&gt;59.5)),0,(J247-K247)*(1+'Retirement Planning'!$J$23/12))</f>
        <v>0</v>
      </c>
      <c r="K248" s="58">
        <f t="shared" ca="1" si="86"/>
        <v>0</v>
      </c>
      <c r="L248" s="57">
        <f>IF(AND(OR(B248&gt;59.5,B248=59.5),B247&lt;59.5),0,(L247-M247)*(1+'Retirement Planning'!$J$23/12))</f>
        <v>0</v>
      </c>
      <c r="M248" s="59">
        <f>IF(AND($B$10&lt;55,B248&lt;59.5),0,IF(B248&lt;59.5,MAX(0,MIN((($Y248+$AJ248+AA248)*'Retirement Planning'!$J$44)-$G248-$X248,L248)),0))</f>
        <v>0</v>
      </c>
      <c r="N248" s="57">
        <f ca="1">(N247-O247)*(1+'Retirement Planning'!$J$23/12)</f>
        <v>0</v>
      </c>
      <c r="O248" s="59">
        <f ca="1">IF(B248&gt;59.5,MAX(0,MIN((AA248+$Y248+$AJ248)*(IF(D248&lt;(MIN(E236:E247)+1),1,'Retirement Planning'!$J$44))-M248-$G248-$X248-(IF(D248&lt;(MIN(E236:E247)+1),D248,0)),N248)),0)</f>
        <v>0</v>
      </c>
      <c r="P248" s="57">
        <f t="shared" si="98"/>
        <v>0</v>
      </c>
      <c r="Q248" s="58">
        <f t="shared" si="99"/>
        <v>0</v>
      </c>
      <c r="R248" s="57">
        <f ca="1">(R247-S247-T247)*(1+'Retirement Planning'!$J$23/12)</f>
        <v>587343.02552763338</v>
      </c>
      <c r="S248" s="58">
        <f t="shared" ca="1" si="100"/>
        <v>808.33333333333337</v>
      </c>
      <c r="T248" s="273">
        <f t="shared" ca="1" si="87"/>
        <v>1.1368683772161603E-12</v>
      </c>
      <c r="U248" s="57">
        <f ca="1">(U247-V247)*(1+'Retirement Planning'!$J$23/12)</f>
        <v>419801.96091819683</v>
      </c>
      <c r="V248" s="24">
        <f ca="1">IF(AND($B$10&lt;55,B248&lt;59.5),MIN(U248,MAX(0,(Y248+AA248+AJ248-G248)*'Retirement Planning'!$J$45)),IF(B248&lt;59.5,(MIN(U248,MAX(0,((Y248+AA248+AJ248)-G248-M248)*'Retirement Planning'!$J$45))),MIN(U248,MAX(0,(Y248+AA248+AJ248-G248-M248-K248-X248)*'Retirement Planning'!$J$45))))</f>
        <v>1113.8441283377156</v>
      </c>
      <c r="W248" s="7">
        <f t="shared" ca="1" si="88"/>
        <v>2926976.9878609213</v>
      </c>
      <c r="X248" s="7">
        <f>(IF(B248&gt;'Retirement Planning'!$J$34,IF('Retirement Planning'!$J$34=70,'Retirement Planning'!$J$37/12,IF('Retirement Planning'!$J$34=67,'Retirement Planning'!$J$36/12,'Retirement Planning'!$J$35/12)),0))*'Retirement Planning'!$J$38</f>
        <v>1213.6000000000001</v>
      </c>
      <c r="Y248" s="7">
        <f ca="1">'Retirement Planning'!$F$35*((1+'Retirement Planning'!$J$24)^(YEAR('Projected Retirement Drawdown'!C248)-YEAR(TODAY())))</f>
        <v>9980.7198364576416</v>
      </c>
      <c r="Z248" s="7">
        <f ca="1">G248+M248+O248+0.85*X248+V248*'Retirement Planning'!$J$46+T248</f>
        <v>10753.385986301419</v>
      </c>
      <c r="AA248" s="7">
        <f ca="1">IF(MONTH(C248)=1,(((MIN(MAX(0,((SUM(Z236:Z247)-'Retirement Planning'!$I$53-'Retirement Planning'!$I$54)-'Retirement Planning'!$J$51)*'Retirement Planning'!$I$52))))+(MIN(MAX(0,((SUM(Z236:Z247)-'Retirement Planning'!$I$53-'Retirement Planning'!$I$54)-'Retirement Planning'!$J$50)*'Retirement Planning'!$I$51),('Retirement Planning'!$J$51-'Retirement Planning'!$J$50)*'Retirement Planning'!$I$51))+(MIN(MAX(0,((SUM(Z236:Z247)-'Retirement Planning'!$I$53-'Retirement Planning'!$I$54)-'Retirement Planning'!$J$49)*'Retirement Planning'!$I$50),('Retirement Planning'!$J$50-'Retirement Planning'!$J$49)*'Retirement Planning'!$I$50)+MIN(MAX(0,((SUM(Z236:Z247)-'Retirement Planning'!$I$53-'Retirement Planning'!$I$54)-'Retirement Planning'!$J$48)*'Retirement Planning'!$I$49),('Retirement Planning'!$J$49-'Retirement Planning'!$J$48)*'Retirement Planning'!$I$49)+MIN(((SUM(Z236:Z247)-'Retirement Planning'!$I$53-'Retirement Planning'!$I$54))*'Retirement Planning'!$I$48,('Retirement Planning'!$J$48)*'Retirement Planning'!$I$48))+(IF((SUM(Z236:Z247)-'Retirement Planning'!$I$54-'Retirement Planning'!$I$61)&gt;'Retirement Planning'!$J$59,(SUM(Z236:Z247)-'Retirement Planning'!$I$54-'Retirement Planning'!$I$61-'Retirement Planning'!$J$59)*'Retirement Planning'!$I$60+'Retirement Planning'!$K$59,IF((SUM(Z236:Z247)-'Retirement Planning'!$I$54-'Retirement Planning'!$I$61)&gt;'Retirement Planning'!$J$58,(SUM(Z236:Z247)-'Retirement Planning'!$I$54-'Retirement Planning'!$I$61-'Retirement Planning'!$J$58)*'Retirement Planning'!$I$59+'Retirement Planning'!$K$58,IF((SUM(Z236:Z247)-'Retirement Planning'!$I$54-'Retirement Planning'!$I$61)&gt;'Retirement Planning'!$J$57,(SUM(Z236:Z247)-'Retirement Planning'!$I$54-'Retirement Planning'!$I$61-'Retirement Planning'!$J$57)*'Retirement Planning'!$I$58+'Retirement Planning'!$K$57,IF((SUM(Z236:Z247)-'Retirement Planning'!$I$54-'Retirement Planning'!$I$61)&gt;'Retirement Planning'!$J$56,(SUM(Z236:Z247)-'Retirement Planning'!$I$54-'Retirement Planning'!$I$61-'Retirement Planning'!$J$56)*'Retirement Planning'!$I$57+'Retirement Planning'!$K$56,(SUM(Z236:Z247)-'Retirement Planning'!$I$54-'Retirement Planning'!$I$61)*'Retirement Planning'!$I$56))))))/12,AA247)</f>
        <v>2446.8254915864004</v>
      </c>
      <c r="AB248" s="104">
        <f t="shared" ca="1" si="106"/>
        <v>0.23622245455956417</v>
      </c>
      <c r="AC248" s="7">
        <f>IF(B248&lt;65,'Retirement Planning'!$J$28,0)</f>
        <v>0</v>
      </c>
      <c r="AD248" s="7">
        <f>IF(B248&lt;65,'Retirement Planning'!$J$29/12,0)</f>
        <v>0</v>
      </c>
      <c r="AE248" s="22">
        <f>'Retirement Planning'!$J$31/12</f>
        <v>58.333333333333336</v>
      </c>
      <c r="AF248" s="22">
        <f>'Retirement Planning'!$J$32/12</f>
        <v>66.666666666666671</v>
      </c>
      <c r="AG248" s="7">
        <f>IF($B248&gt;64.9,'Retirement Planning'!$J$39/12,0)</f>
        <v>183.33333333333334</v>
      </c>
      <c r="AH248" s="7">
        <f>IF($B248&gt;64.9,'Retirement Planning'!$J$40/12,0)</f>
        <v>258.33333333333331</v>
      </c>
      <c r="AI248" s="7">
        <f>IF($B248&gt;64.9,'Retirement Planning'!$J$41/12,0)</f>
        <v>558.33333333333337</v>
      </c>
      <c r="AJ248" s="7">
        <f t="shared" ca="1" si="89"/>
        <v>316.66666666666663</v>
      </c>
      <c r="AK248" s="3" t="str">
        <f t="shared" ca="1" si="90"/>
        <v>N/A</v>
      </c>
      <c r="AL248" s="6" t="str">
        <f t="shared" ca="1" si="91"/>
        <v>N/A</v>
      </c>
      <c r="AM248" s="7">
        <f t="shared" ca="1" si="92"/>
        <v>1.1368683772161603E-12</v>
      </c>
      <c r="AN248" s="7">
        <f t="shared" ca="1" si="93"/>
        <v>13552.545328044042</v>
      </c>
      <c r="AO248" s="7">
        <f t="shared" si="94"/>
        <v>1125</v>
      </c>
    </row>
    <row r="249" spans="1:41" x14ac:dyDescent="0.2">
      <c r="A249">
        <f t="shared" si="95"/>
        <v>50</v>
      </c>
      <c r="B249" s="5">
        <f t="shared" si="96"/>
        <v>76.2</v>
      </c>
      <c r="C249" s="56">
        <f t="shared" si="97"/>
        <v>53693</v>
      </c>
      <c r="D249" s="57">
        <f ca="1">IF(AND(B248&lt;59.5,OR(B249&gt;59.5,B249=59.5)),(D248-E248+J248-K248)*(1+'Retirement Planning'!$J$23/12),(D248-E248)*(1+'Retirement Planning'!$J$23/12))</f>
        <v>510756.48579921527</v>
      </c>
      <c r="E249" s="58">
        <f t="shared" ca="1" si="84"/>
        <v>1356.4709241207875</v>
      </c>
      <c r="F249" s="57">
        <f ca="1">IF(AND(OR(B249&gt;59.5,B249=59.5),B248&lt;59.5),(F248-G248+L248-M248+N248-O248)*(1+'Retirement Planning'!$J$23/12),(F248-G248)*(1+'Retirement Planning'!$J$23/12))</f>
        <v>1412183.7723204729</v>
      </c>
      <c r="G249" s="58">
        <f ca="1">IF(AND($B$10&lt;55,B249&lt;59.5),'Retirement Planning'!$J$25,IF(OR(B249&gt;59.5,B249=59.5),MAX(0,MIN(F249,IF(D249&lt;2500,((Y249+AJ249+AA249))-X249,((Y249+AJ249+AA249)*'Retirement Planning'!$J$44)-X249))),0))</f>
        <v>9495.3809799009596</v>
      </c>
      <c r="H249" s="255">
        <f ca="1">IF(MONTH(C249)=1,IF(B249&gt;69.5,F249/(INDEX('Retirement Planning'!D$1:D$264,(160+INT(B249))))/12,0),IF(F249=0,0,H248))</f>
        <v>8782.2373900526927</v>
      </c>
      <c r="I249" s="262">
        <f t="shared" ca="1" si="85"/>
        <v>0</v>
      </c>
      <c r="J249" s="254">
        <f ca="1">IF(AND(B248&lt;59.5,OR(B249=59.5,B249&gt;59.5)),0,(J248-K248)*(1+'Retirement Planning'!$J$23/12))</f>
        <v>0</v>
      </c>
      <c r="K249" s="58">
        <f t="shared" ca="1" si="86"/>
        <v>0</v>
      </c>
      <c r="L249" s="57">
        <f>IF(AND(OR(B249&gt;59.5,B249=59.5),B248&lt;59.5),0,(L248-M248)*(1+'Retirement Planning'!$J$23/12))</f>
        <v>0</v>
      </c>
      <c r="M249" s="59">
        <f>IF(AND($B$10&lt;55,B249&lt;59.5),0,IF(B249&lt;59.5,MAX(0,MIN((($Y249+$AJ249+AA249)*'Retirement Planning'!$J$44)-$G249-$X249,L249)),0))</f>
        <v>0</v>
      </c>
      <c r="N249" s="57">
        <f ca="1">(N248-O248)*(1+'Retirement Planning'!$J$23/12)</f>
        <v>0</v>
      </c>
      <c r="O249" s="59">
        <f ca="1">IF(B249&gt;59.5,MAX(0,MIN((AA249+$Y249+$AJ249)*(IF(D249&lt;(MIN(E237:E248)+1),1,'Retirement Planning'!$J$44))-M249-$G249-$X249-(IF(D249&lt;(MIN(E237:E248)+1),D249,0)),N249)),0)</f>
        <v>0</v>
      </c>
      <c r="P249" s="57">
        <f t="shared" si="98"/>
        <v>0</v>
      </c>
      <c r="Q249" s="58">
        <f t="shared" si="99"/>
        <v>0</v>
      </c>
      <c r="R249" s="57">
        <f ca="1">(R248-S248-T248)*(1+'Retirement Planning'!$J$23/12)</f>
        <v>590689.31293067627</v>
      </c>
      <c r="S249" s="58">
        <f t="shared" ca="1" si="100"/>
        <v>808.33333333333337</v>
      </c>
      <c r="T249" s="273">
        <f t="shared" ca="1" si="87"/>
        <v>6.8212102632969618E-13</v>
      </c>
      <c r="U249" s="57">
        <f ca="1">(U248-V248)*(1+'Retirement Planning'!$J$23/12)</f>
        <v>421653.82428378728</v>
      </c>
      <c r="V249" s="24">
        <f ca="1">IF(AND($B$10&lt;55,B249&lt;59.5),MIN(U249,MAX(0,(Y249+AA249+AJ249-G249)*'Retirement Planning'!$J$45)),IF(B249&lt;59.5,(MIN(U249,MAX(0,((Y249+AA249+AJ249)-G249-M249)*'Retirement Planning'!$J$45))),MIN(U249,MAX(0,(Y249+AA249+AJ249-G249-M249-K249-X249)*'Retirement Planning'!$J$45))))</f>
        <v>1155.5122686954855</v>
      </c>
      <c r="W249" s="7">
        <f t="shared" ca="1" si="88"/>
        <v>2935283.3953341516</v>
      </c>
      <c r="X249" s="7">
        <f>(IF(B249&gt;'Retirement Planning'!$J$34,IF('Retirement Planning'!$J$34=70,'Retirement Planning'!$J$37/12,IF('Retirement Planning'!$J$34=67,'Retirement Planning'!$J$36/12,'Retirement Planning'!$J$35/12)),0))*'Retirement Planning'!$J$38</f>
        <v>1213.6000000000001</v>
      </c>
      <c r="Y249" s="7">
        <f ca="1">'Retirement Planning'!$F$35*((1+'Retirement Planning'!$J$24)^(YEAR('Projected Retirement Drawdown'!C249)-YEAR(TODAY())))</f>
        <v>10330.045030733656</v>
      </c>
      <c r="Z249" s="7">
        <f ca="1">G249+M249+O249+0.85*X249+V249*'Retirement Planning'!$J$46+T249</f>
        <v>11162.472727683476</v>
      </c>
      <c r="AA249" s="7">
        <f ca="1">IF(MONTH(C249)=1,(((MIN(MAX(0,((SUM(Z237:Z248)-'Retirement Planning'!$I$53-'Retirement Planning'!$I$54)-'Retirement Planning'!$J$51)*'Retirement Planning'!$I$52))))+(MIN(MAX(0,((SUM(Z237:Z248)-'Retirement Planning'!$I$53-'Retirement Planning'!$I$54)-'Retirement Planning'!$J$50)*'Retirement Planning'!$I$51),('Retirement Planning'!$J$51-'Retirement Planning'!$J$50)*'Retirement Planning'!$I$51))+(MIN(MAX(0,((SUM(Z237:Z248)-'Retirement Planning'!$I$53-'Retirement Planning'!$I$54)-'Retirement Planning'!$J$49)*'Retirement Planning'!$I$50),('Retirement Planning'!$J$50-'Retirement Planning'!$J$49)*'Retirement Planning'!$I$50)+MIN(MAX(0,((SUM(Z237:Z248)-'Retirement Planning'!$I$53-'Retirement Planning'!$I$54)-'Retirement Planning'!$J$48)*'Retirement Planning'!$I$49),('Retirement Planning'!$J$49-'Retirement Planning'!$J$48)*'Retirement Planning'!$I$49)+MIN(((SUM(Z237:Z248)-'Retirement Planning'!$I$53-'Retirement Planning'!$I$54))*'Retirement Planning'!$I$48,('Retirement Planning'!$J$48)*'Retirement Planning'!$I$48))+(IF((SUM(Z237:Z248)-'Retirement Planning'!$I$54-'Retirement Planning'!$I$61)&gt;'Retirement Planning'!$J$59,(SUM(Z237:Z248)-'Retirement Planning'!$I$54-'Retirement Planning'!$I$61-'Retirement Planning'!$J$59)*'Retirement Planning'!$I$60+'Retirement Planning'!$K$59,IF((SUM(Z237:Z248)-'Retirement Planning'!$I$54-'Retirement Planning'!$I$61)&gt;'Retirement Planning'!$J$58,(SUM(Z237:Z248)-'Retirement Planning'!$I$54-'Retirement Planning'!$I$61-'Retirement Planning'!$J$58)*'Retirement Planning'!$I$59+'Retirement Planning'!$K$58,IF((SUM(Z237:Z248)-'Retirement Planning'!$I$54-'Retirement Planning'!$I$61)&gt;'Retirement Planning'!$J$57,(SUM(Z237:Z248)-'Retirement Planning'!$I$54-'Retirement Planning'!$I$61-'Retirement Planning'!$J$57)*'Retirement Planning'!$I$58+'Retirement Planning'!$K$57,IF((SUM(Z237:Z248)-'Retirement Planning'!$I$54-'Retirement Planning'!$I$61)&gt;'Retirement Planning'!$J$56,(SUM(Z237:Z248)-'Retirement Planning'!$I$54-'Retirement Planning'!$I$61-'Retirement Planning'!$J$56)*'Retirement Planning'!$I$57+'Retirement Planning'!$K$56,(SUM(Z237:Z248)-'Retirement Planning'!$I$54-'Retirement Planning'!$I$61)*'Retirement Planning'!$I$56))))))/12,AA248)</f>
        <v>2574.2524753169114</v>
      </c>
      <c r="AB249" s="104">
        <f t="shared" ref="AB249" ca="1" si="107">SUM(AA249:AA260)/SUM(Z237:Z248)</f>
        <v>0.23938994458082449</v>
      </c>
      <c r="AC249" s="7">
        <f>IF(B249&lt;65,'Retirement Planning'!$J$28,0)</f>
        <v>0</v>
      </c>
      <c r="AD249" s="7">
        <f>IF(B249&lt;65,'Retirement Planning'!$J$29/12,0)</f>
        <v>0</v>
      </c>
      <c r="AE249" s="22">
        <f>'Retirement Planning'!$J$31/12</f>
        <v>58.333333333333336</v>
      </c>
      <c r="AF249" s="22">
        <f>'Retirement Planning'!$J$32/12</f>
        <v>66.666666666666671</v>
      </c>
      <c r="AG249" s="7">
        <f>IF($B249&gt;64.9,'Retirement Planning'!$J$39/12,0)</f>
        <v>183.33333333333334</v>
      </c>
      <c r="AH249" s="7">
        <f>IF($B249&gt;64.9,'Retirement Planning'!$J$40/12,0)</f>
        <v>258.33333333333331</v>
      </c>
      <c r="AI249" s="7">
        <f>IF($B249&gt;64.9,'Retirement Planning'!$J$41/12,0)</f>
        <v>558.33333333333337</v>
      </c>
      <c r="AJ249" s="7">
        <f t="shared" ca="1" si="89"/>
        <v>316.66666666666663</v>
      </c>
      <c r="AK249" s="3" t="str">
        <f t="shared" ca="1" si="90"/>
        <v>N/A</v>
      </c>
      <c r="AL249" s="6" t="str">
        <f t="shared" ca="1" si="91"/>
        <v>N/A</v>
      </c>
      <c r="AM249" s="7">
        <f t="shared" ca="1" si="92"/>
        <v>1.1368683772161603E-12</v>
      </c>
      <c r="AN249" s="7">
        <f t="shared" ca="1" si="93"/>
        <v>14029.297506050567</v>
      </c>
      <c r="AO249" s="7">
        <f t="shared" si="94"/>
        <v>1125</v>
      </c>
    </row>
    <row r="250" spans="1:41" x14ac:dyDescent="0.2">
      <c r="A250">
        <f t="shared" si="95"/>
        <v>50</v>
      </c>
      <c r="B250" s="5">
        <f t="shared" si="96"/>
        <v>76.3</v>
      </c>
      <c r="C250" s="56">
        <f t="shared" si="97"/>
        <v>53724</v>
      </c>
      <c r="D250" s="57">
        <f ca="1">IF(AND(B249&lt;59.5,OR(B250&gt;59.5,B250=59.5)),(D249-E249+J249-K249)*(1+'Retirement Planning'!$J$23/12),(D249-E249)*(1+'Retirement Planning'!$J$23/12))</f>
        <v>513008.2649804597</v>
      </c>
      <c r="E250" s="58">
        <f t="shared" ca="1" si="84"/>
        <v>1356.4709241207875</v>
      </c>
      <c r="F250" s="57">
        <f ca="1">IF(AND(OR(B250&gt;59.5,B250=59.5),B249&lt;59.5),(F249-G249+L249-M249+N249-O249)*(1+'Retirement Planning'!$J$23/12),(F249-G249)*(1+'Retirement Planning'!$J$23/12))</f>
        <v>1412624.1007792342</v>
      </c>
      <c r="G250" s="58">
        <f ca="1">IF(AND($B$10&lt;55,B250&lt;59.5),'Retirement Planning'!$J$25,IF(OR(B250&gt;59.5,B250=59.5),MAX(0,MIN(F250,IF(D250&lt;2500,((Y250+AJ250+AA250))-X250,((Y250+AJ250+AA250)*'Retirement Planning'!$J$44)-X250))),0))</f>
        <v>9495.3809799009596</v>
      </c>
      <c r="H250" s="255">
        <f ca="1">IF(MONTH(C250)=1,IF(B250&gt;69.5,F250/(INDEX('Retirement Planning'!D$1:D$264,(160+INT(B250))))/12,0),IF(F250=0,0,H249))</f>
        <v>8782.2373900526927</v>
      </c>
      <c r="I250" s="262">
        <f t="shared" ca="1" si="85"/>
        <v>0</v>
      </c>
      <c r="J250" s="254">
        <f ca="1">IF(AND(B249&lt;59.5,OR(B250=59.5,B250&gt;59.5)),0,(J249-K249)*(1+'Retirement Planning'!$J$23/12))</f>
        <v>0</v>
      </c>
      <c r="K250" s="58">
        <f t="shared" ca="1" si="86"/>
        <v>0</v>
      </c>
      <c r="L250" s="57">
        <f>IF(AND(OR(B250&gt;59.5,B250=59.5),B249&lt;59.5),0,(L249-M249)*(1+'Retirement Planning'!$J$23/12))</f>
        <v>0</v>
      </c>
      <c r="M250" s="59">
        <f>IF(AND($B$10&lt;55,B250&lt;59.5),0,IF(B250&lt;59.5,MAX(0,MIN((($Y250+$AJ250+AA250)*'Retirement Planning'!$J$44)-$G250-$X250,L250)),0))</f>
        <v>0</v>
      </c>
      <c r="N250" s="57">
        <f ca="1">(N249-O249)*(1+'Retirement Planning'!$J$23/12)</f>
        <v>0</v>
      </c>
      <c r="O250" s="59">
        <f ca="1">IF(B250&gt;59.5,MAX(0,MIN((AA250+$Y250+$AJ250)*(IF(D250&lt;(MIN(E238:E249)+1),1,'Retirement Planning'!$J$44))-M250-$G250-$X250-(IF(D250&lt;(MIN(E238:E249)+1),D250,0)),N250)),0)</f>
        <v>0</v>
      </c>
      <c r="P250" s="57">
        <f t="shared" si="98"/>
        <v>0</v>
      </c>
      <c r="Q250" s="58">
        <f t="shared" si="99"/>
        <v>0</v>
      </c>
      <c r="R250" s="57">
        <f ca="1">(R249-S249-T249)*(1+'Retirement Planning'!$J$23/12)</f>
        <v>594059.30320282409</v>
      </c>
      <c r="S250" s="58">
        <f t="shared" ca="1" si="100"/>
        <v>808.33333333333337</v>
      </c>
      <c r="T250" s="273">
        <f t="shared" ca="1" si="87"/>
        <v>6.8212102632969618E-13</v>
      </c>
      <c r="U250" s="57">
        <f ca="1">(U249-V249)*(1+'Retirement Planning'!$J$23/12)</f>
        <v>423476.84172519867</v>
      </c>
      <c r="V250" s="24">
        <f ca="1">IF(AND($B$10&lt;55,B250&lt;59.5),MIN(U250,MAX(0,(Y250+AA250+AJ250-G250)*'Retirement Planning'!$J$45)),IF(B250&lt;59.5,(MIN(U250,MAX(0,((Y250+AA250+AJ250)-G250-M250)*'Retirement Planning'!$J$45))),MIN(U250,MAX(0,(Y250+AA250+AJ250-G250-M250-K250-X250)*'Retirement Planning'!$J$45))))</f>
        <v>1155.5122686954855</v>
      </c>
      <c r="W250" s="7">
        <f t="shared" ca="1" si="88"/>
        <v>2943168.5106877168</v>
      </c>
      <c r="X250" s="7">
        <f>(IF(B250&gt;'Retirement Planning'!$J$34,IF('Retirement Planning'!$J$34=70,'Retirement Planning'!$J$37/12,IF('Retirement Planning'!$J$34=67,'Retirement Planning'!$J$36/12,'Retirement Planning'!$J$35/12)),0))*'Retirement Planning'!$J$38</f>
        <v>1213.6000000000001</v>
      </c>
      <c r="Y250" s="7">
        <f ca="1">'Retirement Planning'!$F$35*((1+'Retirement Planning'!$J$24)^(YEAR('Projected Retirement Drawdown'!C250)-YEAR(TODAY())))</f>
        <v>10330.045030733656</v>
      </c>
      <c r="Z250" s="7">
        <f ca="1">G250+M250+O250+0.85*X250+V250*'Retirement Planning'!$J$46+T250</f>
        <v>11162.472727683476</v>
      </c>
      <c r="AA250" s="7">
        <f ca="1">IF(MONTH(C250)=1,(((MIN(MAX(0,((SUM(Z238:Z249)-'Retirement Planning'!$I$53-'Retirement Planning'!$I$54)-'Retirement Planning'!$J$51)*'Retirement Planning'!$I$52))))+(MIN(MAX(0,((SUM(Z238:Z249)-'Retirement Planning'!$I$53-'Retirement Planning'!$I$54)-'Retirement Planning'!$J$50)*'Retirement Planning'!$I$51),('Retirement Planning'!$J$51-'Retirement Planning'!$J$50)*'Retirement Planning'!$I$51))+(MIN(MAX(0,((SUM(Z238:Z249)-'Retirement Planning'!$I$53-'Retirement Planning'!$I$54)-'Retirement Planning'!$J$49)*'Retirement Planning'!$I$50),('Retirement Planning'!$J$50-'Retirement Planning'!$J$49)*'Retirement Planning'!$I$50)+MIN(MAX(0,((SUM(Z238:Z249)-'Retirement Planning'!$I$53-'Retirement Planning'!$I$54)-'Retirement Planning'!$J$48)*'Retirement Planning'!$I$49),('Retirement Planning'!$J$49-'Retirement Planning'!$J$48)*'Retirement Planning'!$I$49)+MIN(((SUM(Z238:Z249)-'Retirement Planning'!$I$53-'Retirement Planning'!$I$54))*'Retirement Planning'!$I$48,('Retirement Planning'!$J$48)*'Retirement Planning'!$I$48))+(IF((SUM(Z238:Z249)-'Retirement Planning'!$I$54-'Retirement Planning'!$I$61)&gt;'Retirement Planning'!$J$59,(SUM(Z238:Z249)-'Retirement Planning'!$I$54-'Retirement Planning'!$I$61-'Retirement Planning'!$J$59)*'Retirement Planning'!$I$60+'Retirement Planning'!$K$59,IF((SUM(Z238:Z249)-'Retirement Planning'!$I$54-'Retirement Planning'!$I$61)&gt;'Retirement Planning'!$J$58,(SUM(Z238:Z249)-'Retirement Planning'!$I$54-'Retirement Planning'!$I$61-'Retirement Planning'!$J$58)*'Retirement Planning'!$I$59+'Retirement Planning'!$K$58,IF((SUM(Z238:Z249)-'Retirement Planning'!$I$54-'Retirement Planning'!$I$61)&gt;'Retirement Planning'!$J$57,(SUM(Z238:Z249)-'Retirement Planning'!$I$54-'Retirement Planning'!$I$61-'Retirement Planning'!$J$57)*'Retirement Planning'!$I$58+'Retirement Planning'!$K$57,IF((SUM(Z238:Z249)-'Retirement Planning'!$I$54-'Retirement Planning'!$I$61)&gt;'Retirement Planning'!$J$56,(SUM(Z238:Z249)-'Retirement Planning'!$I$54-'Retirement Planning'!$I$61-'Retirement Planning'!$J$56)*'Retirement Planning'!$I$57+'Retirement Planning'!$K$56,(SUM(Z238:Z249)-'Retirement Planning'!$I$54-'Retirement Planning'!$I$61)*'Retirement Planning'!$I$56))))))/12,AA249)</f>
        <v>2574.2524753169114</v>
      </c>
      <c r="AB250" s="104">
        <f t="shared" ref="AB250:AB313" ca="1" si="108">AB249</f>
        <v>0.23938994458082449</v>
      </c>
      <c r="AC250" s="7">
        <f>IF(B250&lt;65,'Retirement Planning'!$J$28,0)</f>
        <v>0</v>
      </c>
      <c r="AD250" s="7">
        <f>IF(B250&lt;65,'Retirement Planning'!$J$29/12,0)</f>
        <v>0</v>
      </c>
      <c r="AE250" s="22">
        <f>'Retirement Planning'!$J$31/12</f>
        <v>58.333333333333336</v>
      </c>
      <c r="AF250" s="22">
        <f>'Retirement Planning'!$J$32/12</f>
        <v>66.666666666666671</v>
      </c>
      <c r="AG250" s="7">
        <f>IF($B250&gt;64.9,'Retirement Planning'!$J$39/12,0)</f>
        <v>183.33333333333334</v>
      </c>
      <c r="AH250" s="7">
        <f>IF($B250&gt;64.9,'Retirement Planning'!$J$40/12,0)</f>
        <v>258.33333333333331</v>
      </c>
      <c r="AI250" s="7">
        <f>IF($B250&gt;64.9,'Retirement Planning'!$J$41/12,0)</f>
        <v>558.33333333333337</v>
      </c>
      <c r="AJ250" s="7">
        <f t="shared" ca="1" si="89"/>
        <v>316.66666666666663</v>
      </c>
      <c r="AK250" s="3" t="str">
        <f t="shared" ca="1" si="90"/>
        <v>N/A</v>
      </c>
      <c r="AL250" s="6" t="str">
        <f t="shared" ca="1" si="91"/>
        <v>N/A</v>
      </c>
      <c r="AM250" s="7">
        <f t="shared" ca="1" si="92"/>
        <v>1.1368683772161603E-12</v>
      </c>
      <c r="AN250" s="7">
        <f t="shared" ca="1" si="93"/>
        <v>14029.297506050567</v>
      </c>
      <c r="AO250" s="7">
        <f t="shared" si="94"/>
        <v>1125</v>
      </c>
    </row>
    <row r="251" spans="1:41" x14ac:dyDescent="0.2">
      <c r="A251">
        <f t="shared" si="95"/>
        <v>50</v>
      </c>
      <c r="B251" s="5">
        <f t="shared" si="96"/>
        <v>76.400000000000006</v>
      </c>
      <c r="C251" s="56">
        <f t="shared" si="97"/>
        <v>53752</v>
      </c>
      <c r="D251" s="57">
        <f ca="1">IF(AND(B250&lt;59.5,OR(B251&gt;59.5,B251=59.5)),(D250-E250+J250-K250)*(1+'Retirement Planning'!$J$23/12),(D250-E250)*(1+'Retirement Planning'!$J$23/12))</f>
        <v>515275.99426423799</v>
      </c>
      <c r="E251" s="58">
        <f t="shared" ca="1" si="84"/>
        <v>1356.4709241207875</v>
      </c>
      <c r="F251" s="57">
        <f ca="1">IF(AND(OR(B251&gt;59.5,B251=59.5),B250&lt;59.5),(F250-G250+L250-M250+N250-O250)*(1+'Retirement Planning'!$J$23/12),(F250-G250)*(1+'Retirement Planning'!$J$23/12))</f>
        <v>1413067.5482312453</v>
      </c>
      <c r="G251" s="58">
        <f ca="1">IF(AND($B$10&lt;55,B251&lt;59.5),'Retirement Planning'!$J$25,IF(OR(B251&gt;59.5,B251=59.5),MAX(0,MIN(F251,IF(D251&lt;2500,((Y251+AJ251+AA251))-X251,((Y251+AJ251+AA251)*'Retirement Planning'!$J$44)-X251))),0))</f>
        <v>9495.3809799009596</v>
      </c>
      <c r="H251" s="255">
        <f ca="1">IF(MONTH(C251)=1,IF(B251&gt;69.5,F251/(INDEX('Retirement Planning'!D$1:D$264,(160+INT(B251))))/12,0),IF(F251=0,0,H250))</f>
        <v>8782.2373900526927</v>
      </c>
      <c r="I251" s="262">
        <f t="shared" ca="1" si="85"/>
        <v>0</v>
      </c>
      <c r="J251" s="254">
        <f ca="1">IF(AND(B250&lt;59.5,OR(B251=59.5,B251&gt;59.5)),0,(J250-K250)*(1+'Retirement Planning'!$J$23/12))</f>
        <v>0</v>
      </c>
      <c r="K251" s="58">
        <f t="shared" ca="1" si="86"/>
        <v>0</v>
      </c>
      <c r="L251" s="57">
        <f>IF(AND(OR(B251&gt;59.5,B251=59.5),B250&lt;59.5),0,(L250-M250)*(1+'Retirement Planning'!$J$23/12))</f>
        <v>0</v>
      </c>
      <c r="M251" s="59">
        <f>IF(AND($B$10&lt;55,B251&lt;59.5),0,IF(B251&lt;59.5,MAX(0,MIN((($Y251+$AJ251+AA251)*'Retirement Planning'!$J$44)-$G251-$X251,L251)),0))</f>
        <v>0</v>
      </c>
      <c r="N251" s="57">
        <f ca="1">(N250-O250)*(1+'Retirement Planning'!$J$23/12)</f>
        <v>0</v>
      </c>
      <c r="O251" s="59">
        <f ca="1">IF(B251&gt;59.5,MAX(0,MIN((AA251+$Y251+$AJ251)*(IF(D251&lt;(MIN(E239:E250)+1),1,'Retirement Planning'!$J$44))-M251-$G251-$X251-(IF(D251&lt;(MIN(E239:E250)+1),D251,0)),N251)),0)</f>
        <v>0</v>
      </c>
      <c r="P251" s="57">
        <f t="shared" si="98"/>
        <v>0</v>
      </c>
      <c r="Q251" s="58">
        <f t="shared" si="99"/>
        <v>0</v>
      </c>
      <c r="R251" s="57">
        <f ca="1">(R250-S250-T250)*(1+'Retirement Planning'!$J$23/12)</f>
        <v>597453.1642393996</v>
      </c>
      <c r="S251" s="58">
        <f t="shared" ca="1" si="100"/>
        <v>808.33333333333337</v>
      </c>
      <c r="T251" s="273">
        <f t="shared" ca="1" si="87"/>
        <v>6.8212102632969618E-13</v>
      </c>
      <c r="U251" s="57">
        <f ca="1">(U250-V250)*(1+'Retirement Planning'!$J$23/12)</f>
        <v>425312.77220682002</v>
      </c>
      <c r="V251" s="24">
        <f ca="1">IF(AND($B$10&lt;55,B251&lt;59.5),MIN(U251,MAX(0,(Y251+AA251+AJ251-G251)*'Retirement Planning'!$J$45)),IF(B251&lt;59.5,(MIN(U251,MAX(0,((Y251+AA251+AJ251)-G251-M251)*'Retirement Planning'!$J$45))),MIN(U251,MAX(0,(Y251+AA251+AJ251-G251-M251-K251-X251)*'Retirement Planning'!$J$45))))</f>
        <v>1155.5122686954855</v>
      </c>
      <c r="W251" s="7">
        <f t="shared" ca="1" si="88"/>
        <v>2951109.4789417027</v>
      </c>
      <c r="X251" s="7">
        <f>(IF(B251&gt;'Retirement Planning'!$J$34,IF('Retirement Planning'!$J$34=70,'Retirement Planning'!$J$37/12,IF('Retirement Planning'!$J$34=67,'Retirement Planning'!$J$36/12,'Retirement Planning'!$J$35/12)),0))*'Retirement Planning'!$J$38</f>
        <v>1213.6000000000001</v>
      </c>
      <c r="Y251" s="7">
        <f ca="1">'Retirement Planning'!$F$35*((1+'Retirement Planning'!$J$24)^(YEAR('Projected Retirement Drawdown'!C251)-YEAR(TODAY())))</f>
        <v>10330.045030733656</v>
      </c>
      <c r="Z251" s="7">
        <f ca="1">G251+M251+O251+0.85*X251+V251*'Retirement Planning'!$J$46+T251</f>
        <v>11162.472727683476</v>
      </c>
      <c r="AA251" s="7">
        <f ca="1">IF(MONTH(C251)=1,(((MIN(MAX(0,((SUM(Z239:Z250)-'Retirement Planning'!$I$53-'Retirement Planning'!$I$54)-'Retirement Planning'!$J$51)*'Retirement Planning'!$I$52))))+(MIN(MAX(0,((SUM(Z239:Z250)-'Retirement Planning'!$I$53-'Retirement Planning'!$I$54)-'Retirement Planning'!$J$50)*'Retirement Planning'!$I$51),('Retirement Planning'!$J$51-'Retirement Planning'!$J$50)*'Retirement Planning'!$I$51))+(MIN(MAX(0,((SUM(Z239:Z250)-'Retirement Planning'!$I$53-'Retirement Planning'!$I$54)-'Retirement Planning'!$J$49)*'Retirement Planning'!$I$50),('Retirement Planning'!$J$50-'Retirement Planning'!$J$49)*'Retirement Planning'!$I$50)+MIN(MAX(0,((SUM(Z239:Z250)-'Retirement Planning'!$I$53-'Retirement Planning'!$I$54)-'Retirement Planning'!$J$48)*'Retirement Planning'!$I$49),('Retirement Planning'!$J$49-'Retirement Planning'!$J$48)*'Retirement Planning'!$I$49)+MIN(((SUM(Z239:Z250)-'Retirement Planning'!$I$53-'Retirement Planning'!$I$54))*'Retirement Planning'!$I$48,('Retirement Planning'!$J$48)*'Retirement Planning'!$I$48))+(IF((SUM(Z239:Z250)-'Retirement Planning'!$I$54-'Retirement Planning'!$I$61)&gt;'Retirement Planning'!$J$59,(SUM(Z239:Z250)-'Retirement Planning'!$I$54-'Retirement Planning'!$I$61-'Retirement Planning'!$J$59)*'Retirement Planning'!$I$60+'Retirement Planning'!$K$59,IF((SUM(Z239:Z250)-'Retirement Planning'!$I$54-'Retirement Planning'!$I$61)&gt;'Retirement Planning'!$J$58,(SUM(Z239:Z250)-'Retirement Planning'!$I$54-'Retirement Planning'!$I$61-'Retirement Planning'!$J$58)*'Retirement Planning'!$I$59+'Retirement Planning'!$K$58,IF((SUM(Z239:Z250)-'Retirement Planning'!$I$54-'Retirement Planning'!$I$61)&gt;'Retirement Planning'!$J$57,(SUM(Z239:Z250)-'Retirement Planning'!$I$54-'Retirement Planning'!$I$61-'Retirement Planning'!$J$57)*'Retirement Planning'!$I$58+'Retirement Planning'!$K$57,IF((SUM(Z239:Z250)-'Retirement Planning'!$I$54-'Retirement Planning'!$I$61)&gt;'Retirement Planning'!$J$56,(SUM(Z239:Z250)-'Retirement Planning'!$I$54-'Retirement Planning'!$I$61-'Retirement Planning'!$J$56)*'Retirement Planning'!$I$57+'Retirement Planning'!$K$56,(SUM(Z239:Z250)-'Retirement Planning'!$I$54-'Retirement Planning'!$I$61)*'Retirement Planning'!$I$56))))))/12,AA250)</f>
        <v>2574.2524753169114</v>
      </c>
      <c r="AB251" s="104">
        <f t="shared" ca="1" si="106"/>
        <v>0.23938994458082449</v>
      </c>
      <c r="AC251" s="7">
        <f>IF(B251&lt;65,'Retirement Planning'!$J$28,0)</f>
        <v>0</v>
      </c>
      <c r="AD251" s="7">
        <f>IF(B251&lt;65,'Retirement Planning'!$J$29/12,0)</f>
        <v>0</v>
      </c>
      <c r="AE251" s="22">
        <f>'Retirement Planning'!$J$31/12</f>
        <v>58.333333333333336</v>
      </c>
      <c r="AF251" s="22">
        <f>'Retirement Planning'!$J$32/12</f>
        <v>66.666666666666671</v>
      </c>
      <c r="AG251" s="7">
        <f>IF($B251&gt;64.9,'Retirement Planning'!$J$39/12,0)</f>
        <v>183.33333333333334</v>
      </c>
      <c r="AH251" s="7">
        <f>IF($B251&gt;64.9,'Retirement Planning'!$J$40/12,0)</f>
        <v>258.33333333333331</v>
      </c>
      <c r="AI251" s="7">
        <f>IF($B251&gt;64.9,'Retirement Planning'!$J$41/12,0)</f>
        <v>558.33333333333337</v>
      </c>
      <c r="AJ251" s="7">
        <f t="shared" ca="1" si="89"/>
        <v>316.66666666666663</v>
      </c>
      <c r="AK251" s="3" t="str">
        <f t="shared" ca="1" si="90"/>
        <v>N/A</v>
      </c>
      <c r="AL251" s="6" t="str">
        <f t="shared" ca="1" si="91"/>
        <v>N/A</v>
      </c>
      <c r="AM251" s="7">
        <f t="shared" ca="1" si="92"/>
        <v>1.1368683772161603E-12</v>
      </c>
      <c r="AN251" s="7">
        <f t="shared" ca="1" si="93"/>
        <v>14029.297506050567</v>
      </c>
      <c r="AO251" s="7">
        <f t="shared" si="94"/>
        <v>1125</v>
      </c>
    </row>
    <row r="252" spans="1:41" x14ac:dyDescent="0.2">
      <c r="A252">
        <f t="shared" si="95"/>
        <v>50</v>
      </c>
      <c r="B252" s="5">
        <f t="shared" si="96"/>
        <v>76.5</v>
      </c>
      <c r="C252" s="56">
        <f t="shared" si="97"/>
        <v>53783</v>
      </c>
      <c r="D252" s="57">
        <f ca="1">IF(AND(B251&lt;59.5,OR(B252&gt;59.5,B252=59.5)),(D251-E251+J251-K251)*(1+'Retirement Planning'!$J$23/12),(D251-E251)*(1+'Retirement Planning'!$J$23/12))</f>
        <v>517559.78663044301</v>
      </c>
      <c r="E252" s="58">
        <f t="shared" ca="1" si="84"/>
        <v>1356.4709241207875</v>
      </c>
      <c r="F252" s="57">
        <f ca="1">IF(AND(OR(B252&gt;59.5,B252=59.5),B251&lt;59.5),(F251-G251+L251-M251+N251-O251)*(1+'Retirement Planning'!$J$23/12),(F251-G251)*(1+'Retirement Planning'!$J$23/12))</f>
        <v>1413514.1367693746</v>
      </c>
      <c r="G252" s="58">
        <f ca="1">IF(AND($B$10&lt;55,B252&lt;59.5),'Retirement Planning'!$J$25,IF(OR(B252&gt;59.5,B252=59.5),MAX(0,MIN(F252,IF(D252&lt;2500,((Y252+AJ252+AA252))-X252,((Y252+AJ252+AA252)*'Retirement Planning'!$J$44)-X252))),0))</f>
        <v>9495.3809799009596</v>
      </c>
      <c r="H252" s="255">
        <f ca="1">IF(MONTH(C252)=1,IF(B252&gt;69.5,F252/(INDEX('Retirement Planning'!D$1:D$264,(160+INT(B252))))/12,0),IF(F252=0,0,H251))</f>
        <v>8782.2373900526927</v>
      </c>
      <c r="I252" s="262">
        <f t="shared" ca="1" si="85"/>
        <v>0</v>
      </c>
      <c r="J252" s="254">
        <f ca="1">IF(AND(B251&lt;59.5,OR(B252=59.5,B252&gt;59.5)),0,(J251-K251)*(1+'Retirement Planning'!$J$23/12))</f>
        <v>0</v>
      </c>
      <c r="K252" s="58">
        <f t="shared" ca="1" si="86"/>
        <v>0</v>
      </c>
      <c r="L252" s="57">
        <f>IF(AND(OR(B252&gt;59.5,B252=59.5),B251&lt;59.5),0,(L251-M251)*(1+'Retirement Planning'!$J$23/12))</f>
        <v>0</v>
      </c>
      <c r="M252" s="59">
        <f>IF(AND($B$10&lt;55,B252&lt;59.5),0,IF(B252&lt;59.5,MAX(0,MIN((($Y252+$AJ252+AA252)*'Retirement Planning'!$J$44)-$G252-$X252,L252)),0))</f>
        <v>0</v>
      </c>
      <c r="N252" s="57">
        <f ca="1">(N251-O251)*(1+'Retirement Planning'!$J$23/12)</f>
        <v>0</v>
      </c>
      <c r="O252" s="59">
        <f ca="1">IF(B252&gt;59.5,MAX(0,MIN((AA252+$Y252+$AJ252)*(IF(D252&lt;(MIN(E240:E251)+1),1,'Retirement Planning'!$J$44))-M252-$G252-$X252-(IF(D252&lt;(MIN(E240:E251)+1),D252,0)),N252)),0)</f>
        <v>0</v>
      </c>
      <c r="P252" s="57">
        <f t="shared" si="98"/>
        <v>0</v>
      </c>
      <c r="Q252" s="58">
        <f t="shared" si="99"/>
        <v>0</v>
      </c>
      <c r="R252" s="57">
        <f ca="1">(R251-S251-T251)*(1+'Retirement Planning'!$J$23/12)</f>
        <v>600871.06512498425</v>
      </c>
      <c r="S252" s="58">
        <f t="shared" ca="1" si="100"/>
        <v>808.33333333333337</v>
      </c>
      <c r="T252" s="273">
        <f t="shared" ca="1" si="87"/>
        <v>6.8212102632969618E-13</v>
      </c>
      <c r="U252" s="57">
        <f ca="1">(U251-V251)*(1+'Retirement Planning'!$J$23/12)</f>
        <v>427161.70719601959</v>
      </c>
      <c r="V252" s="24">
        <f ca="1">IF(AND($B$10&lt;55,B252&lt;59.5),MIN(U252,MAX(0,(Y252+AA252+AJ252-G252)*'Retirement Planning'!$J$45)),IF(B252&lt;59.5,(MIN(U252,MAX(0,((Y252+AA252+AJ252)-G252-M252)*'Retirement Planning'!$J$45))),MIN(U252,MAX(0,(Y252+AA252+AJ252-G252-M252-K252-X252)*'Retirement Planning'!$J$45))))</f>
        <v>1155.5122686954855</v>
      </c>
      <c r="W252" s="7">
        <f t="shared" ca="1" si="88"/>
        <v>2959106.6957208216</v>
      </c>
      <c r="X252" s="7">
        <f>(IF(B252&gt;'Retirement Planning'!$J$34,IF('Retirement Planning'!$J$34=70,'Retirement Planning'!$J$37/12,IF('Retirement Planning'!$J$34=67,'Retirement Planning'!$J$36/12,'Retirement Planning'!$J$35/12)),0))*'Retirement Planning'!$J$38</f>
        <v>1213.6000000000001</v>
      </c>
      <c r="Y252" s="7">
        <f ca="1">'Retirement Planning'!$F$35*((1+'Retirement Planning'!$J$24)^(YEAR('Projected Retirement Drawdown'!C252)-YEAR(TODAY())))</f>
        <v>10330.045030733656</v>
      </c>
      <c r="Z252" s="7">
        <f ca="1">G252+M252+O252+0.85*X252+V252*'Retirement Planning'!$J$46+T252</f>
        <v>11162.472727683476</v>
      </c>
      <c r="AA252" s="7">
        <f ca="1">IF(MONTH(C252)=1,(((MIN(MAX(0,((SUM(Z240:Z251)-'Retirement Planning'!$I$53-'Retirement Planning'!$I$54)-'Retirement Planning'!$J$51)*'Retirement Planning'!$I$52))))+(MIN(MAX(0,((SUM(Z240:Z251)-'Retirement Planning'!$I$53-'Retirement Planning'!$I$54)-'Retirement Planning'!$J$50)*'Retirement Planning'!$I$51),('Retirement Planning'!$J$51-'Retirement Planning'!$J$50)*'Retirement Planning'!$I$51))+(MIN(MAX(0,((SUM(Z240:Z251)-'Retirement Planning'!$I$53-'Retirement Planning'!$I$54)-'Retirement Planning'!$J$49)*'Retirement Planning'!$I$50),('Retirement Planning'!$J$50-'Retirement Planning'!$J$49)*'Retirement Planning'!$I$50)+MIN(MAX(0,((SUM(Z240:Z251)-'Retirement Planning'!$I$53-'Retirement Planning'!$I$54)-'Retirement Planning'!$J$48)*'Retirement Planning'!$I$49),('Retirement Planning'!$J$49-'Retirement Planning'!$J$48)*'Retirement Planning'!$I$49)+MIN(((SUM(Z240:Z251)-'Retirement Planning'!$I$53-'Retirement Planning'!$I$54))*'Retirement Planning'!$I$48,('Retirement Planning'!$J$48)*'Retirement Planning'!$I$48))+(IF((SUM(Z240:Z251)-'Retirement Planning'!$I$54-'Retirement Planning'!$I$61)&gt;'Retirement Planning'!$J$59,(SUM(Z240:Z251)-'Retirement Planning'!$I$54-'Retirement Planning'!$I$61-'Retirement Planning'!$J$59)*'Retirement Planning'!$I$60+'Retirement Planning'!$K$59,IF((SUM(Z240:Z251)-'Retirement Planning'!$I$54-'Retirement Planning'!$I$61)&gt;'Retirement Planning'!$J$58,(SUM(Z240:Z251)-'Retirement Planning'!$I$54-'Retirement Planning'!$I$61-'Retirement Planning'!$J$58)*'Retirement Planning'!$I$59+'Retirement Planning'!$K$58,IF((SUM(Z240:Z251)-'Retirement Planning'!$I$54-'Retirement Planning'!$I$61)&gt;'Retirement Planning'!$J$57,(SUM(Z240:Z251)-'Retirement Planning'!$I$54-'Retirement Planning'!$I$61-'Retirement Planning'!$J$57)*'Retirement Planning'!$I$58+'Retirement Planning'!$K$57,IF((SUM(Z240:Z251)-'Retirement Planning'!$I$54-'Retirement Planning'!$I$61)&gt;'Retirement Planning'!$J$56,(SUM(Z240:Z251)-'Retirement Planning'!$I$54-'Retirement Planning'!$I$61-'Retirement Planning'!$J$56)*'Retirement Planning'!$I$57+'Retirement Planning'!$K$56,(SUM(Z240:Z251)-'Retirement Planning'!$I$54-'Retirement Planning'!$I$61)*'Retirement Planning'!$I$56))))))/12,AA251)</f>
        <v>2574.2524753169114</v>
      </c>
      <c r="AB252" s="104">
        <f t="shared" ca="1" si="106"/>
        <v>0.23938994458082449</v>
      </c>
      <c r="AC252" s="7">
        <f>IF(B252&lt;65,'Retirement Planning'!$J$28,0)</f>
        <v>0</v>
      </c>
      <c r="AD252" s="7">
        <f>IF(B252&lt;65,'Retirement Planning'!$J$29/12,0)</f>
        <v>0</v>
      </c>
      <c r="AE252" s="22">
        <f>'Retirement Planning'!$J$31/12</f>
        <v>58.333333333333336</v>
      </c>
      <c r="AF252" s="22">
        <f>'Retirement Planning'!$J$32/12</f>
        <v>66.666666666666671</v>
      </c>
      <c r="AG252" s="7">
        <f>IF($B252&gt;64.9,'Retirement Planning'!$J$39/12,0)</f>
        <v>183.33333333333334</v>
      </c>
      <c r="AH252" s="7">
        <f>IF($B252&gt;64.9,'Retirement Planning'!$J$40/12,0)</f>
        <v>258.33333333333331</v>
      </c>
      <c r="AI252" s="7">
        <f>IF($B252&gt;64.9,'Retirement Planning'!$J$41/12,0)</f>
        <v>558.33333333333337</v>
      </c>
      <c r="AJ252" s="7">
        <f t="shared" ca="1" si="89"/>
        <v>316.66666666666663</v>
      </c>
      <c r="AK252" s="3" t="str">
        <f t="shared" ca="1" si="90"/>
        <v>N/A</v>
      </c>
      <c r="AL252" s="6" t="str">
        <f t="shared" ca="1" si="91"/>
        <v>N/A</v>
      </c>
      <c r="AM252" s="7">
        <f t="shared" ca="1" si="92"/>
        <v>1.1368683772161603E-12</v>
      </c>
      <c r="AN252" s="7">
        <f t="shared" ca="1" si="93"/>
        <v>14029.297506050567</v>
      </c>
      <c r="AO252" s="7">
        <f t="shared" si="94"/>
        <v>1125</v>
      </c>
    </row>
    <row r="253" spans="1:41" x14ac:dyDescent="0.2">
      <c r="A253">
        <f t="shared" si="95"/>
        <v>50</v>
      </c>
      <c r="B253" s="5">
        <f t="shared" si="96"/>
        <v>76.5</v>
      </c>
      <c r="C253" s="56">
        <f t="shared" si="97"/>
        <v>53813</v>
      </c>
      <c r="D253" s="57">
        <f ca="1">IF(AND(B252&lt;59.5,OR(B253&gt;59.5,B253=59.5)),(D252-E252+J252-K252)*(1+'Retirement Planning'!$J$23/12),(D252-E252)*(1+'Retirement Planning'!$J$23/12))</f>
        <v>519859.755859242</v>
      </c>
      <c r="E253" s="58">
        <f t="shared" ca="1" si="84"/>
        <v>1356.4709241207875</v>
      </c>
      <c r="F253" s="57">
        <f ca="1">IF(AND(OR(B253&gt;59.5,B253=59.5),B252&lt;59.5),(F252-G252+L252-M252+N252-O252)*(1+'Retirement Planning'!$J$23/12),(F252-G252)*(1+'Retirement Planning'!$J$23/12))</f>
        <v>1413963.8886429823</v>
      </c>
      <c r="G253" s="58">
        <f ca="1">IF(AND($B$10&lt;55,B253&lt;59.5),'Retirement Planning'!$J$25,IF(OR(B253&gt;59.5,B253=59.5),MAX(0,MIN(F253,IF(D253&lt;2500,((Y253+AJ253+AA253))-X253,((Y253+AJ253+AA253)*'Retirement Planning'!$J$44)-X253))),0))</f>
        <v>9495.3809799009596</v>
      </c>
      <c r="H253" s="255">
        <f ca="1">IF(MONTH(C253)=1,IF(B253&gt;69.5,F253/(INDEX('Retirement Planning'!D$1:D$264,(160+INT(B253))))/12,0),IF(F253=0,0,H252))</f>
        <v>8782.2373900526927</v>
      </c>
      <c r="I253" s="262">
        <f t="shared" ca="1" si="85"/>
        <v>0</v>
      </c>
      <c r="J253" s="254">
        <f ca="1">IF(AND(B252&lt;59.5,OR(B253=59.5,B253&gt;59.5)),0,(J252-K252)*(1+'Retirement Planning'!$J$23/12))</f>
        <v>0</v>
      </c>
      <c r="K253" s="58">
        <f t="shared" ca="1" si="86"/>
        <v>0</v>
      </c>
      <c r="L253" s="57">
        <f>IF(AND(OR(B253&gt;59.5,B253=59.5),B252&lt;59.5),0,(L252-M252)*(1+'Retirement Planning'!$J$23/12))</f>
        <v>0</v>
      </c>
      <c r="M253" s="59">
        <f>IF(AND($B$10&lt;55,B253&lt;59.5),0,IF(B253&lt;59.5,MAX(0,MIN((($Y253+$AJ253+AA253)*'Retirement Planning'!$J$44)-$G253-$X253,L253)),0))</f>
        <v>0</v>
      </c>
      <c r="N253" s="57">
        <f ca="1">(N252-O252)*(1+'Retirement Planning'!$J$23/12)</f>
        <v>0</v>
      </c>
      <c r="O253" s="59">
        <f ca="1">IF(B253&gt;59.5,MAX(0,MIN((AA253+$Y253+$AJ253)*(IF(D253&lt;(MIN(E241:E252)+1),1,'Retirement Planning'!$J$44))-M253-$G253-$X253-(IF(D253&lt;(MIN(E241:E252)+1),D253,0)),N253)),0)</f>
        <v>0</v>
      </c>
      <c r="P253" s="57">
        <f t="shared" si="98"/>
        <v>0</v>
      </c>
      <c r="Q253" s="58">
        <f t="shared" si="99"/>
        <v>0</v>
      </c>
      <c r="R253" s="57">
        <f ca="1">(R252-S252-T252)*(1+'Retirement Planning'!$J$23/12)</f>
        <v>604313.17614184169</v>
      </c>
      <c r="S253" s="58">
        <f t="shared" ca="1" si="100"/>
        <v>808.33333333333337</v>
      </c>
      <c r="T253" s="273">
        <f t="shared" ca="1" si="87"/>
        <v>6.8212102632969618E-13</v>
      </c>
      <c r="U253" s="57">
        <f ca="1">(U252-V252)*(1+'Retirement Planning'!$J$23/12)</f>
        <v>429023.73880805931</v>
      </c>
      <c r="V253" s="24">
        <f ca="1">IF(AND($B$10&lt;55,B253&lt;59.5),MIN(U253,MAX(0,(Y253+AA253+AJ253-G253)*'Retirement Planning'!$J$45)),IF(B253&lt;59.5,(MIN(U253,MAX(0,((Y253+AA253+AJ253)-G253-M253)*'Retirement Planning'!$J$45))),MIN(U253,MAX(0,(Y253+AA253+AJ253-G253-M253-K253-X253)*'Retirement Planning'!$J$45))))</f>
        <v>1155.5122686954855</v>
      </c>
      <c r="W253" s="7">
        <f t="shared" ca="1" si="88"/>
        <v>2967160.5594521253</v>
      </c>
      <c r="X253" s="7">
        <f>(IF(B253&gt;'Retirement Planning'!$J$34,IF('Retirement Planning'!$J$34=70,'Retirement Planning'!$J$37/12,IF('Retirement Planning'!$J$34=67,'Retirement Planning'!$J$36/12,'Retirement Planning'!$J$35/12)),0))*'Retirement Planning'!$J$38</f>
        <v>1213.6000000000001</v>
      </c>
      <c r="Y253" s="7">
        <f ca="1">'Retirement Planning'!$F$35*((1+'Retirement Planning'!$J$24)^(YEAR('Projected Retirement Drawdown'!C253)-YEAR(TODAY())))</f>
        <v>10330.045030733656</v>
      </c>
      <c r="Z253" s="7">
        <f ca="1">G253+M253+O253+0.85*X253+V253*'Retirement Planning'!$J$46+T253</f>
        <v>11162.472727683476</v>
      </c>
      <c r="AA253" s="7">
        <f ca="1">IF(MONTH(C253)=1,(((MIN(MAX(0,((SUM(Z241:Z252)-'Retirement Planning'!$I$53-'Retirement Planning'!$I$54)-'Retirement Planning'!$J$51)*'Retirement Planning'!$I$52))))+(MIN(MAX(0,((SUM(Z241:Z252)-'Retirement Planning'!$I$53-'Retirement Planning'!$I$54)-'Retirement Planning'!$J$50)*'Retirement Planning'!$I$51),('Retirement Planning'!$J$51-'Retirement Planning'!$J$50)*'Retirement Planning'!$I$51))+(MIN(MAX(0,((SUM(Z241:Z252)-'Retirement Planning'!$I$53-'Retirement Planning'!$I$54)-'Retirement Planning'!$J$49)*'Retirement Planning'!$I$50),('Retirement Planning'!$J$50-'Retirement Planning'!$J$49)*'Retirement Planning'!$I$50)+MIN(MAX(0,((SUM(Z241:Z252)-'Retirement Planning'!$I$53-'Retirement Planning'!$I$54)-'Retirement Planning'!$J$48)*'Retirement Planning'!$I$49),('Retirement Planning'!$J$49-'Retirement Planning'!$J$48)*'Retirement Planning'!$I$49)+MIN(((SUM(Z241:Z252)-'Retirement Planning'!$I$53-'Retirement Planning'!$I$54))*'Retirement Planning'!$I$48,('Retirement Planning'!$J$48)*'Retirement Planning'!$I$48))+(IF((SUM(Z241:Z252)-'Retirement Planning'!$I$54-'Retirement Planning'!$I$61)&gt;'Retirement Planning'!$J$59,(SUM(Z241:Z252)-'Retirement Planning'!$I$54-'Retirement Planning'!$I$61-'Retirement Planning'!$J$59)*'Retirement Planning'!$I$60+'Retirement Planning'!$K$59,IF((SUM(Z241:Z252)-'Retirement Planning'!$I$54-'Retirement Planning'!$I$61)&gt;'Retirement Planning'!$J$58,(SUM(Z241:Z252)-'Retirement Planning'!$I$54-'Retirement Planning'!$I$61-'Retirement Planning'!$J$58)*'Retirement Planning'!$I$59+'Retirement Planning'!$K$58,IF((SUM(Z241:Z252)-'Retirement Planning'!$I$54-'Retirement Planning'!$I$61)&gt;'Retirement Planning'!$J$57,(SUM(Z241:Z252)-'Retirement Planning'!$I$54-'Retirement Planning'!$I$61-'Retirement Planning'!$J$57)*'Retirement Planning'!$I$58+'Retirement Planning'!$K$57,IF((SUM(Z241:Z252)-'Retirement Planning'!$I$54-'Retirement Planning'!$I$61)&gt;'Retirement Planning'!$J$56,(SUM(Z241:Z252)-'Retirement Planning'!$I$54-'Retirement Planning'!$I$61-'Retirement Planning'!$J$56)*'Retirement Planning'!$I$57+'Retirement Planning'!$K$56,(SUM(Z241:Z252)-'Retirement Planning'!$I$54-'Retirement Planning'!$I$61)*'Retirement Planning'!$I$56))))))/12,AA252)</f>
        <v>2574.2524753169114</v>
      </c>
      <c r="AB253" s="104">
        <f t="shared" ca="1" si="106"/>
        <v>0.23938994458082449</v>
      </c>
      <c r="AC253" s="7">
        <f>IF(B253&lt;65,'Retirement Planning'!$J$28,0)</f>
        <v>0</v>
      </c>
      <c r="AD253" s="7">
        <f>IF(B253&lt;65,'Retirement Planning'!$J$29/12,0)</f>
        <v>0</v>
      </c>
      <c r="AE253" s="22">
        <f>'Retirement Planning'!$J$31/12</f>
        <v>58.333333333333336</v>
      </c>
      <c r="AF253" s="22">
        <f>'Retirement Planning'!$J$32/12</f>
        <v>66.666666666666671</v>
      </c>
      <c r="AG253" s="7">
        <f>IF($B253&gt;64.9,'Retirement Planning'!$J$39/12,0)</f>
        <v>183.33333333333334</v>
      </c>
      <c r="AH253" s="7">
        <f>IF($B253&gt;64.9,'Retirement Planning'!$J$40/12,0)</f>
        <v>258.33333333333331</v>
      </c>
      <c r="AI253" s="7">
        <f>IF($B253&gt;64.9,'Retirement Planning'!$J$41/12,0)</f>
        <v>558.33333333333337</v>
      </c>
      <c r="AJ253" s="7">
        <f t="shared" ca="1" si="89"/>
        <v>316.66666666666663</v>
      </c>
      <c r="AK253" s="3" t="str">
        <f t="shared" ca="1" si="90"/>
        <v>N/A</v>
      </c>
      <c r="AL253" s="6" t="str">
        <f t="shared" ca="1" si="91"/>
        <v>N/A</v>
      </c>
      <c r="AM253" s="7">
        <f t="shared" ca="1" si="92"/>
        <v>1.1368683772161603E-12</v>
      </c>
      <c r="AN253" s="7">
        <f t="shared" ca="1" si="93"/>
        <v>14029.297506050567</v>
      </c>
      <c r="AO253" s="7">
        <f t="shared" si="94"/>
        <v>1125</v>
      </c>
    </row>
    <row r="254" spans="1:41" x14ac:dyDescent="0.2">
      <c r="A254">
        <f t="shared" si="95"/>
        <v>50</v>
      </c>
      <c r="B254" s="5">
        <f t="shared" si="96"/>
        <v>76.599999999999994</v>
      </c>
      <c r="C254" s="56">
        <f t="shared" si="97"/>
        <v>53844</v>
      </c>
      <c r="D254" s="57">
        <f ca="1">IF(AND(B253&lt;59.5,OR(B254&gt;59.5,B254=59.5)),(D253-E253+J253-K253)*(1+'Retirement Planning'!$J$23/12),(D253-E253)*(1+'Retirement Planning'!$J$23/12))</f>
        <v>522176.01653674495</v>
      </c>
      <c r="E254" s="58">
        <f t="shared" ca="1" si="84"/>
        <v>1356.4709241207875</v>
      </c>
      <c r="F254" s="57">
        <f ca="1">IF(AND(OR(B254&gt;59.5,B254=59.5),B253&lt;59.5),(F253-G253+L253-M253+N253-O253)*(1+'Retirement Planning'!$J$23/12),(F253-G253)*(1+'Retirement Planning'!$J$23/12))</f>
        <v>1414416.8262590282</v>
      </c>
      <c r="G254" s="58">
        <f ca="1">IF(AND($B$10&lt;55,B254&lt;59.5),'Retirement Planning'!$J$25,IF(OR(B254&gt;59.5,B254=59.5),MAX(0,MIN(F254,IF(D254&lt;2500,((Y254+AJ254+AA254))-X254,((Y254+AJ254+AA254)*'Retirement Planning'!$J$44)-X254))),0))</f>
        <v>9495.3809799009596</v>
      </c>
      <c r="H254" s="255">
        <f ca="1">IF(MONTH(C254)=1,IF(B254&gt;69.5,F254/(INDEX('Retirement Planning'!D$1:D$264,(160+INT(B254))))/12,0),IF(F254=0,0,H253))</f>
        <v>8782.2373900526927</v>
      </c>
      <c r="I254" s="262">
        <f t="shared" ca="1" si="85"/>
        <v>0</v>
      </c>
      <c r="J254" s="254">
        <f ca="1">IF(AND(B253&lt;59.5,OR(B254=59.5,B254&gt;59.5)),0,(J253-K253)*(1+'Retirement Planning'!$J$23/12))</f>
        <v>0</v>
      </c>
      <c r="K254" s="58">
        <f t="shared" ca="1" si="86"/>
        <v>0</v>
      </c>
      <c r="L254" s="57">
        <f>IF(AND(OR(B254&gt;59.5,B254=59.5),B253&lt;59.5),0,(L253-M253)*(1+'Retirement Planning'!$J$23/12))</f>
        <v>0</v>
      </c>
      <c r="M254" s="59">
        <f>IF(AND($B$10&lt;55,B254&lt;59.5),0,IF(B254&lt;59.5,MAX(0,MIN((($Y254+$AJ254+AA254)*'Retirement Planning'!$J$44)-$G254-$X254,L254)),0))</f>
        <v>0</v>
      </c>
      <c r="N254" s="57">
        <f ca="1">(N253-O253)*(1+'Retirement Planning'!$J$23/12)</f>
        <v>0</v>
      </c>
      <c r="O254" s="59">
        <f ca="1">IF(B254&gt;59.5,MAX(0,MIN((AA254+$Y254+$AJ254)*(IF(D254&lt;(MIN(E242:E253)+1),1,'Retirement Planning'!$J$44))-M254-$G254-$X254-(IF(D254&lt;(MIN(E242:E253)+1),D254,0)),N254)),0)</f>
        <v>0</v>
      </c>
      <c r="P254" s="57">
        <f t="shared" si="98"/>
        <v>0</v>
      </c>
      <c r="Q254" s="58">
        <f t="shared" si="99"/>
        <v>0</v>
      </c>
      <c r="R254" s="57">
        <f ca="1">(R253-S253-T253)*(1+'Retirement Planning'!$J$23/12)</f>
        <v>607779.66877840192</v>
      </c>
      <c r="S254" s="58">
        <f t="shared" ca="1" si="100"/>
        <v>808.33333333333337</v>
      </c>
      <c r="T254" s="273">
        <f t="shared" ca="1" si="87"/>
        <v>6.8212102632969618E-13</v>
      </c>
      <c r="U254" s="57">
        <f ca="1">(U253-V253)*(1+'Retirement Planning'!$J$23/12)</f>
        <v>430898.95981068432</v>
      </c>
      <c r="V254" s="24">
        <f ca="1">IF(AND($B$10&lt;55,B254&lt;59.5),MIN(U254,MAX(0,(Y254+AA254+AJ254-G254)*'Retirement Planning'!$J$45)),IF(B254&lt;59.5,(MIN(U254,MAX(0,((Y254+AA254+AJ254)-G254-M254)*'Retirement Planning'!$J$45))),MIN(U254,MAX(0,(Y254+AA254+AJ254-G254-M254-K254-X254)*'Retirement Planning'!$J$45))))</f>
        <v>1155.5122686954855</v>
      </c>
      <c r="W254" s="7">
        <f t="shared" ca="1" si="88"/>
        <v>2975271.4713848596</v>
      </c>
      <c r="X254" s="7">
        <f>(IF(B254&gt;'Retirement Planning'!$J$34,IF('Retirement Planning'!$J$34=70,'Retirement Planning'!$J$37/12,IF('Retirement Planning'!$J$34=67,'Retirement Planning'!$J$36/12,'Retirement Planning'!$J$35/12)),0))*'Retirement Planning'!$J$38</f>
        <v>1213.6000000000001</v>
      </c>
      <c r="Y254" s="7">
        <f ca="1">'Retirement Planning'!$F$35*((1+'Retirement Planning'!$J$24)^(YEAR('Projected Retirement Drawdown'!C254)-YEAR(TODAY())))</f>
        <v>10330.045030733656</v>
      </c>
      <c r="Z254" s="7">
        <f ca="1">G254+M254+O254+0.85*X254+V254*'Retirement Planning'!$J$46+T254</f>
        <v>11162.472727683476</v>
      </c>
      <c r="AA254" s="7">
        <f ca="1">IF(MONTH(C254)=1,(((MIN(MAX(0,((SUM(Z242:Z253)-'Retirement Planning'!$I$53-'Retirement Planning'!$I$54)-'Retirement Planning'!$J$51)*'Retirement Planning'!$I$52))))+(MIN(MAX(0,((SUM(Z242:Z253)-'Retirement Planning'!$I$53-'Retirement Planning'!$I$54)-'Retirement Planning'!$J$50)*'Retirement Planning'!$I$51),('Retirement Planning'!$J$51-'Retirement Planning'!$J$50)*'Retirement Planning'!$I$51))+(MIN(MAX(0,((SUM(Z242:Z253)-'Retirement Planning'!$I$53-'Retirement Planning'!$I$54)-'Retirement Planning'!$J$49)*'Retirement Planning'!$I$50),('Retirement Planning'!$J$50-'Retirement Planning'!$J$49)*'Retirement Planning'!$I$50)+MIN(MAX(0,((SUM(Z242:Z253)-'Retirement Planning'!$I$53-'Retirement Planning'!$I$54)-'Retirement Planning'!$J$48)*'Retirement Planning'!$I$49),('Retirement Planning'!$J$49-'Retirement Planning'!$J$48)*'Retirement Planning'!$I$49)+MIN(((SUM(Z242:Z253)-'Retirement Planning'!$I$53-'Retirement Planning'!$I$54))*'Retirement Planning'!$I$48,('Retirement Planning'!$J$48)*'Retirement Planning'!$I$48))+(IF((SUM(Z242:Z253)-'Retirement Planning'!$I$54-'Retirement Planning'!$I$61)&gt;'Retirement Planning'!$J$59,(SUM(Z242:Z253)-'Retirement Planning'!$I$54-'Retirement Planning'!$I$61-'Retirement Planning'!$J$59)*'Retirement Planning'!$I$60+'Retirement Planning'!$K$59,IF((SUM(Z242:Z253)-'Retirement Planning'!$I$54-'Retirement Planning'!$I$61)&gt;'Retirement Planning'!$J$58,(SUM(Z242:Z253)-'Retirement Planning'!$I$54-'Retirement Planning'!$I$61-'Retirement Planning'!$J$58)*'Retirement Planning'!$I$59+'Retirement Planning'!$K$58,IF((SUM(Z242:Z253)-'Retirement Planning'!$I$54-'Retirement Planning'!$I$61)&gt;'Retirement Planning'!$J$57,(SUM(Z242:Z253)-'Retirement Planning'!$I$54-'Retirement Planning'!$I$61-'Retirement Planning'!$J$57)*'Retirement Planning'!$I$58+'Retirement Planning'!$K$57,IF((SUM(Z242:Z253)-'Retirement Planning'!$I$54-'Retirement Planning'!$I$61)&gt;'Retirement Planning'!$J$56,(SUM(Z242:Z253)-'Retirement Planning'!$I$54-'Retirement Planning'!$I$61-'Retirement Planning'!$J$56)*'Retirement Planning'!$I$57+'Retirement Planning'!$K$56,(SUM(Z242:Z253)-'Retirement Planning'!$I$54-'Retirement Planning'!$I$61)*'Retirement Planning'!$I$56))))))/12,AA253)</f>
        <v>2574.2524753169114</v>
      </c>
      <c r="AB254" s="104">
        <f t="shared" ca="1" si="106"/>
        <v>0.23938994458082449</v>
      </c>
      <c r="AC254" s="7">
        <f>IF(B254&lt;65,'Retirement Planning'!$J$28,0)</f>
        <v>0</v>
      </c>
      <c r="AD254" s="7">
        <f>IF(B254&lt;65,'Retirement Planning'!$J$29/12,0)</f>
        <v>0</v>
      </c>
      <c r="AE254" s="22">
        <f>'Retirement Planning'!$J$31/12</f>
        <v>58.333333333333336</v>
      </c>
      <c r="AF254" s="22">
        <f>'Retirement Planning'!$J$32/12</f>
        <v>66.666666666666671</v>
      </c>
      <c r="AG254" s="7">
        <f>IF($B254&gt;64.9,'Retirement Planning'!$J$39/12,0)</f>
        <v>183.33333333333334</v>
      </c>
      <c r="AH254" s="7">
        <f>IF($B254&gt;64.9,'Retirement Planning'!$J$40/12,0)</f>
        <v>258.33333333333331</v>
      </c>
      <c r="AI254" s="7">
        <f>IF($B254&gt;64.9,'Retirement Planning'!$J$41/12,0)</f>
        <v>558.33333333333337</v>
      </c>
      <c r="AJ254" s="7">
        <f t="shared" ca="1" si="89"/>
        <v>316.66666666666663</v>
      </c>
      <c r="AK254" s="3" t="str">
        <f t="shared" ca="1" si="90"/>
        <v>N/A</v>
      </c>
      <c r="AL254" s="6" t="str">
        <f t="shared" ca="1" si="91"/>
        <v>N/A</v>
      </c>
      <c r="AM254" s="7">
        <f t="shared" ca="1" si="92"/>
        <v>1.1368683772161603E-12</v>
      </c>
      <c r="AN254" s="7">
        <f t="shared" ca="1" si="93"/>
        <v>14029.297506050567</v>
      </c>
      <c r="AO254" s="7">
        <f t="shared" si="94"/>
        <v>1125</v>
      </c>
    </row>
    <row r="255" spans="1:41" x14ac:dyDescent="0.2">
      <c r="A255">
        <f t="shared" si="95"/>
        <v>50</v>
      </c>
      <c r="B255" s="5">
        <f t="shared" si="96"/>
        <v>76.7</v>
      </c>
      <c r="C255" s="56">
        <f t="shared" si="97"/>
        <v>53874</v>
      </c>
      <c r="D255" s="57">
        <f ca="1">IF(AND(B254&lt;59.5,OR(B255&gt;59.5,B255=59.5)),(D254-E254+J254-K254)*(1+'Retirement Planning'!$J$23/12),(D254-E254)*(1+'Retirement Planning'!$J$23/12))</f>
        <v>524508.68406071363</v>
      </c>
      <c r="E255" s="58">
        <f t="shared" ca="1" si="84"/>
        <v>1356.4709241207875</v>
      </c>
      <c r="F255" s="57">
        <f ca="1">IF(AND(OR(B255&gt;59.5,B255=59.5),B254&lt;59.5),(F254-G254+L254-M254+N254-O254)*(1+'Retirement Planning'!$J$23/12),(F254-G254)*(1+'Retirement Planning'!$J$23/12))</f>
        <v>1414872.9721831877</v>
      </c>
      <c r="G255" s="58">
        <f ca="1">IF(AND($B$10&lt;55,B255&lt;59.5),'Retirement Planning'!$J$25,IF(OR(B255&gt;59.5,B255=59.5),MAX(0,MIN(F255,IF(D255&lt;2500,((Y255+AJ255+AA255))-X255,((Y255+AJ255+AA255)*'Retirement Planning'!$J$44)-X255))),0))</f>
        <v>9495.3809799009596</v>
      </c>
      <c r="H255" s="255">
        <f ca="1">IF(MONTH(C255)=1,IF(B255&gt;69.5,F255/(INDEX('Retirement Planning'!D$1:D$264,(160+INT(B255))))/12,0),IF(F255=0,0,H254))</f>
        <v>8782.2373900526927</v>
      </c>
      <c r="I255" s="262">
        <f t="shared" ca="1" si="85"/>
        <v>0</v>
      </c>
      <c r="J255" s="254">
        <f ca="1">IF(AND(B254&lt;59.5,OR(B255=59.5,B255&gt;59.5)),0,(J254-K254)*(1+'Retirement Planning'!$J$23/12))</f>
        <v>0</v>
      </c>
      <c r="K255" s="58">
        <f t="shared" ca="1" si="86"/>
        <v>0</v>
      </c>
      <c r="L255" s="57">
        <f>IF(AND(OR(B255&gt;59.5,B255=59.5),B254&lt;59.5),0,(L254-M254)*(1+'Retirement Planning'!$J$23/12))</f>
        <v>0</v>
      </c>
      <c r="M255" s="59">
        <f>IF(AND($B$10&lt;55,B255&lt;59.5),0,IF(B255&lt;59.5,MAX(0,MIN((($Y255+$AJ255+AA255)*'Retirement Planning'!$J$44)-$G255-$X255,L255)),0))</f>
        <v>0</v>
      </c>
      <c r="N255" s="57">
        <f ca="1">(N254-O254)*(1+'Retirement Planning'!$J$23/12)</f>
        <v>0</v>
      </c>
      <c r="O255" s="59">
        <f ca="1">IF(B255&gt;59.5,MAX(0,MIN((AA255+$Y255+$AJ255)*(IF(D255&lt;(MIN(E243:E254)+1),1,'Retirement Planning'!$J$44))-M255-$G255-$X255-(IF(D255&lt;(MIN(E243:E254)+1),D255,0)),N255)),0)</f>
        <v>0</v>
      </c>
      <c r="P255" s="57">
        <f t="shared" si="98"/>
        <v>0</v>
      </c>
      <c r="Q255" s="58">
        <f t="shared" si="99"/>
        <v>0</v>
      </c>
      <c r="R255" s="57">
        <f ca="1">(R254-S254-T254)*(1+'Retirement Planning'!$J$23/12)</f>
        <v>611270.71573780442</v>
      </c>
      <c r="S255" s="58">
        <f t="shared" ca="1" si="100"/>
        <v>808.33333333333337</v>
      </c>
      <c r="T255" s="273">
        <f t="shared" ca="1" si="87"/>
        <v>6.8212102632969618E-13</v>
      </c>
      <c r="U255" s="57">
        <f ca="1">(U254-V254)*(1+'Retirement Planning'!$J$23/12)</f>
        <v>432787.46362874453</v>
      </c>
      <c r="V255" s="24">
        <f ca="1">IF(AND($B$10&lt;55,B255&lt;59.5),MIN(U255,MAX(0,(Y255+AA255+AJ255-G255)*'Retirement Planning'!$J$45)),IF(B255&lt;59.5,(MIN(U255,MAX(0,((Y255+AA255+AJ255)-G255-M255)*'Retirement Planning'!$J$45))),MIN(U255,MAX(0,(Y255+AA255+AJ255-G255-M255-K255-X255)*'Retirement Planning'!$J$45))))</f>
        <v>1155.5122686954855</v>
      </c>
      <c r="W255" s="7">
        <f t="shared" ca="1" si="88"/>
        <v>2983439.8356104502</v>
      </c>
      <c r="X255" s="7">
        <f>(IF(B255&gt;'Retirement Planning'!$J$34,IF('Retirement Planning'!$J$34=70,'Retirement Planning'!$J$37/12,IF('Retirement Planning'!$J$34=67,'Retirement Planning'!$J$36/12,'Retirement Planning'!$J$35/12)),0))*'Retirement Planning'!$J$38</f>
        <v>1213.6000000000001</v>
      </c>
      <c r="Y255" s="7">
        <f ca="1">'Retirement Planning'!$F$35*((1+'Retirement Planning'!$J$24)^(YEAR('Projected Retirement Drawdown'!C255)-YEAR(TODAY())))</f>
        <v>10330.045030733656</v>
      </c>
      <c r="Z255" s="7">
        <f ca="1">G255+M255+O255+0.85*X255+V255*'Retirement Planning'!$J$46+T255</f>
        <v>11162.472727683476</v>
      </c>
      <c r="AA255" s="7">
        <f ca="1">IF(MONTH(C255)=1,(((MIN(MAX(0,((SUM(Z243:Z254)-'Retirement Planning'!$I$53-'Retirement Planning'!$I$54)-'Retirement Planning'!$J$51)*'Retirement Planning'!$I$52))))+(MIN(MAX(0,((SUM(Z243:Z254)-'Retirement Planning'!$I$53-'Retirement Planning'!$I$54)-'Retirement Planning'!$J$50)*'Retirement Planning'!$I$51),('Retirement Planning'!$J$51-'Retirement Planning'!$J$50)*'Retirement Planning'!$I$51))+(MIN(MAX(0,((SUM(Z243:Z254)-'Retirement Planning'!$I$53-'Retirement Planning'!$I$54)-'Retirement Planning'!$J$49)*'Retirement Planning'!$I$50),('Retirement Planning'!$J$50-'Retirement Planning'!$J$49)*'Retirement Planning'!$I$50)+MIN(MAX(0,((SUM(Z243:Z254)-'Retirement Planning'!$I$53-'Retirement Planning'!$I$54)-'Retirement Planning'!$J$48)*'Retirement Planning'!$I$49),('Retirement Planning'!$J$49-'Retirement Planning'!$J$48)*'Retirement Planning'!$I$49)+MIN(((SUM(Z243:Z254)-'Retirement Planning'!$I$53-'Retirement Planning'!$I$54))*'Retirement Planning'!$I$48,('Retirement Planning'!$J$48)*'Retirement Planning'!$I$48))+(IF((SUM(Z243:Z254)-'Retirement Planning'!$I$54-'Retirement Planning'!$I$61)&gt;'Retirement Planning'!$J$59,(SUM(Z243:Z254)-'Retirement Planning'!$I$54-'Retirement Planning'!$I$61-'Retirement Planning'!$J$59)*'Retirement Planning'!$I$60+'Retirement Planning'!$K$59,IF((SUM(Z243:Z254)-'Retirement Planning'!$I$54-'Retirement Planning'!$I$61)&gt;'Retirement Planning'!$J$58,(SUM(Z243:Z254)-'Retirement Planning'!$I$54-'Retirement Planning'!$I$61-'Retirement Planning'!$J$58)*'Retirement Planning'!$I$59+'Retirement Planning'!$K$58,IF((SUM(Z243:Z254)-'Retirement Planning'!$I$54-'Retirement Planning'!$I$61)&gt;'Retirement Planning'!$J$57,(SUM(Z243:Z254)-'Retirement Planning'!$I$54-'Retirement Planning'!$I$61-'Retirement Planning'!$J$57)*'Retirement Planning'!$I$58+'Retirement Planning'!$K$57,IF((SUM(Z243:Z254)-'Retirement Planning'!$I$54-'Retirement Planning'!$I$61)&gt;'Retirement Planning'!$J$56,(SUM(Z243:Z254)-'Retirement Planning'!$I$54-'Retirement Planning'!$I$61-'Retirement Planning'!$J$56)*'Retirement Planning'!$I$57+'Retirement Planning'!$K$56,(SUM(Z243:Z254)-'Retirement Planning'!$I$54-'Retirement Planning'!$I$61)*'Retirement Planning'!$I$56))))))/12,AA254)</f>
        <v>2574.2524753169114</v>
      </c>
      <c r="AB255" s="104">
        <f t="shared" ca="1" si="106"/>
        <v>0.23938994458082449</v>
      </c>
      <c r="AC255" s="7">
        <f>IF(B255&lt;65,'Retirement Planning'!$J$28,0)</f>
        <v>0</v>
      </c>
      <c r="AD255" s="7">
        <f>IF(B255&lt;65,'Retirement Planning'!$J$29/12,0)</f>
        <v>0</v>
      </c>
      <c r="AE255" s="22">
        <f>'Retirement Planning'!$J$31/12</f>
        <v>58.333333333333336</v>
      </c>
      <c r="AF255" s="22">
        <f>'Retirement Planning'!$J$32/12</f>
        <v>66.666666666666671</v>
      </c>
      <c r="AG255" s="7">
        <f>IF($B255&gt;64.9,'Retirement Planning'!$J$39/12,0)</f>
        <v>183.33333333333334</v>
      </c>
      <c r="AH255" s="7">
        <f>IF($B255&gt;64.9,'Retirement Planning'!$J$40/12,0)</f>
        <v>258.33333333333331</v>
      </c>
      <c r="AI255" s="7">
        <f>IF($B255&gt;64.9,'Retirement Planning'!$J$41/12,0)</f>
        <v>558.33333333333337</v>
      </c>
      <c r="AJ255" s="7">
        <f t="shared" ca="1" si="89"/>
        <v>316.66666666666663</v>
      </c>
      <c r="AK255" s="3" t="str">
        <f t="shared" ca="1" si="90"/>
        <v>N/A</v>
      </c>
      <c r="AL255" s="6" t="str">
        <f t="shared" ca="1" si="91"/>
        <v>N/A</v>
      </c>
      <c r="AM255" s="7">
        <f t="shared" ca="1" si="92"/>
        <v>1.1368683772161603E-12</v>
      </c>
      <c r="AN255" s="7">
        <f t="shared" ca="1" si="93"/>
        <v>14029.297506050567</v>
      </c>
      <c r="AO255" s="7">
        <f t="shared" si="94"/>
        <v>1125</v>
      </c>
    </row>
    <row r="256" spans="1:41" x14ac:dyDescent="0.2">
      <c r="A256">
        <f t="shared" si="95"/>
        <v>50</v>
      </c>
      <c r="B256" s="5">
        <f t="shared" si="96"/>
        <v>76.8</v>
      </c>
      <c r="C256" s="56">
        <f t="shared" si="97"/>
        <v>53905</v>
      </c>
      <c r="D256" s="57">
        <f ca="1">IF(AND(B255&lt;59.5,OR(B256&gt;59.5,B256=59.5)),(D255-E255+J255-K255)*(1+'Retirement Planning'!$J$23/12),(D255-E255)*(1+'Retirement Planning'!$J$23/12))</f>
        <v>526857.87464631035</v>
      </c>
      <c r="E256" s="58">
        <f t="shared" ca="1" si="84"/>
        <v>1356.4709241207875</v>
      </c>
      <c r="F256" s="57">
        <f ca="1">IF(AND(OR(B256&gt;59.5,B256=59.5),B255&lt;59.5),(F255-G255+L255-M255+N255-O255)*(1+'Retirement Planning'!$J$23/12),(F255-G255)*(1+'Retirement Planning'!$J$23/12))</f>
        <v>1415332.3491409768</v>
      </c>
      <c r="G256" s="58">
        <f ca="1">IF(AND($B$10&lt;55,B256&lt;59.5),'Retirement Planning'!$J$25,IF(OR(B256&gt;59.5,B256=59.5),MAX(0,MIN(F256,IF(D256&lt;2500,((Y256+AJ256+AA256))-X256,((Y256+AJ256+AA256)*'Retirement Planning'!$J$44)-X256))),0))</f>
        <v>9495.3809799009596</v>
      </c>
      <c r="H256" s="255">
        <f ca="1">IF(MONTH(C256)=1,IF(B256&gt;69.5,F256/(INDEX('Retirement Planning'!D$1:D$264,(160+INT(B256))))/12,0),IF(F256=0,0,H255))</f>
        <v>8782.2373900526927</v>
      </c>
      <c r="I256" s="262">
        <f t="shared" ca="1" si="85"/>
        <v>0</v>
      </c>
      <c r="J256" s="254">
        <f ca="1">IF(AND(B255&lt;59.5,OR(B256=59.5,B256&gt;59.5)),0,(J255-K255)*(1+'Retirement Planning'!$J$23/12))</f>
        <v>0</v>
      </c>
      <c r="K256" s="58">
        <f t="shared" ca="1" si="86"/>
        <v>0</v>
      </c>
      <c r="L256" s="57">
        <f>IF(AND(OR(B256&gt;59.5,B256=59.5),B255&lt;59.5),0,(L255-M255)*(1+'Retirement Planning'!$J$23/12))</f>
        <v>0</v>
      </c>
      <c r="M256" s="59">
        <f>IF(AND($B$10&lt;55,B256&lt;59.5),0,IF(B256&lt;59.5,MAX(0,MIN((($Y256+$AJ256+AA256)*'Retirement Planning'!$J$44)-$G256-$X256,L256)),0))</f>
        <v>0</v>
      </c>
      <c r="N256" s="57">
        <f ca="1">(N255-O255)*(1+'Retirement Planning'!$J$23/12)</f>
        <v>0</v>
      </c>
      <c r="O256" s="59">
        <f ca="1">IF(B256&gt;59.5,MAX(0,MIN((AA256+$Y256+$AJ256)*(IF(D256&lt;(MIN(E244:E255)+1),1,'Retirement Planning'!$J$44))-M256-$G256-$X256-(IF(D256&lt;(MIN(E244:E255)+1),D256,0)),N256)),0)</f>
        <v>0</v>
      </c>
      <c r="P256" s="57">
        <f t="shared" si="98"/>
        <v>0</v>
      </c>
      <c r="Q256" s="58">
        <f t="shared" si="99"/>
        <v>0</v>
      </c>
      <c r="R256" s="57">
        <f ca="1">(R255-S255-T255)*(1+'Retirement Planning'!$J$23/12)</f>
        <v>614786.49094650277</v>
      </c>
      <c r="S256" s="58">
        <f t="shared" ca="1" si="100"/>
        <v>808.33333333333337</v>
      </c>
      <c r="T256" s="273">
        <f t="shared" ca="1" si="87"/>
        <v>6.8212102632969618E-13</v>
      </c>
      <c r="U256" s="57">
        <f ca="1">(U255-V255)*(1+'Retirement Planning'!$J$23/12)</f>
        <v>434689.34434884944</v>
      </c>
      <c r="V256" s="24">
        <f ca="1">IF(AND($B$10&lt;55,B256&lt;59.5),MIN(U256,MAX(0,(Y256+AA256+AJ256-G256)*'Retirement Planning'!$J$45)),IF(B256&lt;59.5,(MIN(U256,MAX(0,((Y256+AA256+AJ256)-G256-M256)*'Retirement Planning'!$J$45))),MIN(U256,MAX(0,(Y256+AA256+AJ256-G256-M256-K256-X256)*'Retirement Planning'!$J$45))))</f>
        <v>1155.5122686954855</v>
      </c>
      <c r="W256" s="7">
        <f t="shared" ca="1" si="88"/>
        <v>2991666.0590826394</v>
      </c>
      <c r="X256" s="7">
        <f>(IF(B256&gt;'Retirement Planning'!$J$34,IF('Retirement Planning'!$J$34=70,'Retirement Planning'!$J$37/12,IF('Retirement Planning'!$J$34=67,'Retirement Planning'!$J$36/12,'Retirement Planning'!$J$35/12)),0))*'Retirement Planning'!$J$38</f>
        <v>1213.6000000000001</v>
      </c>
      <c r="Y256" s="7">
        <f ca="1">'Retirement Planning'!$F$35*((1+'Retirement Planning'!$J$24)^(YEAR('Projected Retirement Drawdown'!C256)-YEAR(TODAY())))</f>
        <v>10330.045030733656</v>
      </c>
      <c r="Z256" s="7">
        <f ca="1">G256+M256+O256+0.85*X256+V256*'Retirement Planning'!$J$46+T256</f>
        <v>11162.472727683476</v>
      </c>
      <c r="AA256" s="7">
        <f ca="1">IF(MONTH(C256)=1,(((MIN(MAX(0,((SUM(Z244:Z255)-'Retirement Planning'!$I$53-'Retirement Planning'!$I$54)-'Retirement Planning'!$J$51)*'Retirement Planning'!$I$52))))+(MIN(MAX(0,((SUM(Z244:Z255)-'Retirement Planning'!$I$53-'Retirement Planning'!$I$54)-'Retirement Planning'!$J$50)*'Retirement Planning'!$I$51),('Retirement Planning'!$J$51-'Retirement Planning'!$J$50)*'Retirement Planning'!$I$51))+(MIN(MAX(0,((SUM(Z244:Z255)-'Retirement Planning'!$I$53-'Retirement Planning'!$I$54)-'Retirement Planning'!$J$49)*'Retirement Planning'!$I$50),('Retirement Planning'!$J$50-'Retirement Planning'!$J$49)*'Retirement Planning'!$I$50)+MIN(MAX(0,((SUM(Z244:Z255)-'Retirement Planning'!$I$53-'Retirement Planning'!$I$54)-'Retirement Planning'!$J$48)*'Retirement Planning'!$I$49),('Retirement Planning'!$J$49-'Retirement Planning'!$J$48)*'Retirement Planning'!$I$49)+MIN(((SUM(Z244:Z255)-'Retirement Planning'!$I$53-'Retirement Planning'!$I$54))*'Retirement Planning'!$I$48,('Retirement Planning'!$J$48)*'Retirement Planning'!$I$48))+(IF((SUM(Z244:Z255)-'Retirement Planning'!$I$54-'Retirement Planning'!$I$61)&gt;'Retirement Planning'!$J$59,(SUM(Z244:Z255)-'Retirement Planning'!$I$54-'Retirement Planning'!$I$61-'Retirement Planning'!$J$59)*'Retirement Planning'!$I$60+'Retirement Planning'!$K$59,IF((SUM(Z244:Z255)-'Retirement Planning'!$I$54-'Retirement Planning'!$I$61)&gt;'Retirement Planning'!$J$58,(SUM(Z244:Z255)-'Retirement Planning'!$I$54-'Retirement Planning'!$I$61-'Retirement Planning'!$J$58)*'Retirement Planning'!$I$59+'Retirement Planning'!$K$58,IF((SUM(Z244:Z255)-'Retirement Planning'!$I$54-'Retirement Planning'!$I$61)&gt;'Retirement Planning'!$J$57,(SUM(Z244:Z255)-'Retirement Planning'!$I$54-'Retirement Planning'!$I$61-'Retirement Planning'!$J$57)*'Retirement Planning'!$I$58+'Retirement Planning'!$K$57,IF((SUM(Z244:Z255)-'Retirement Planning'!$I$54-'Retirement Planning'!$I$61)&gt;'Retirement Planning'!$J$56,(SUM(Z244:Z255)-'Retirement Planning'!$I$54-'Retirement Planning'!$I$61-'Retirement Planning'!$J$56)*'Retirement Planning'!$I$57+'Retirement Planning'!$K$56,(SUM(Z244:Z255)-'Retirement Planning'!$I$54-'Retirement Planning'!$I$61)*'Retirement Planning'!$I$56))))))/12,AA255)</f>
        <v>2574.2524753169114</v>
      </c>
      <c r="AB256" s="104">
        <f t="shared" ca="1" si="106"/>
        <v>0.23938994458082449</v>
      </c>
      <c r="AC256" s="7">
        <f>IF(B256&lt;65,'Retirement Planning'!$J$28,0)</f>
        <v>0</v>
      </c>
      <c r="AD256" s="7">
        <f>IF(B256&lt;65,'Retirement Planning'!$J$29/12,0)</f>
        <v>0</v>
      </c>
      <c r="AE256" s="22">
        <f>'Retirement Planning'!$J$31/12</f>
        <v>58.333333333333336</v>
      </c>
      <c r="AF256" s="22">
        <f>'Retirement Planning'!$J$32/12</f>
        <v>66.666666666666671</v>
      </c>
      <c r="AG256" s="7">
        <f>IF($B256&gt;64.9,'Retirement Planning'!$J$39/12,0)</f>
        <v>183.33333333333334</v>
      </c>
      <c r="AH256" s="7">
        <f>IF($B256&gt;64.9,'Retirement Planning'!$J$40/12,0)</f>
        <v>258.33333333333331</v>
      </c>
      <c r="AI256" s="7">
        <f>IF($B256&gt;64.9,'Retirement Planning'!$J$41/12,0)</f>
        <v>558.33333333333337</v>
      </c>
      <c r="AJ256" s="7">
        <f t="shared" ca="1" si="89"/>
        <v>316.66666666666663</v>
      </c>
      <c r="AK256" s="3" t="str">
        <f t="shared" ca="1" si="90"/>
        <v>N/A</v>
      </c>
      <c r="AL256" s="6" t="str">
        <f t="shared" ca="1" si="91"/>
        <v>N/A</v>
      </c>
      <c r="AM256" s="7">
        <f t="shared" ca="1" si="92"/>
        <v>1.1368683772161603E-12</v>
      </c>
      <c r="AN256" s="7">
        <f t="shared" ca="1" si="93"/>
        <v>14029.297506050567</v>
      </c>
      <c r="AO256" s="7">
        <f t="shared" si="94"/>
        <v>1125</v>
      </c>
    </row>
    <row r="257" spans="1:41" x14ac:dyDescent="0.2">
      <c r="A257">
        <f t="shared" si="95"/>
        <v>50</v>
      </c>
      <c r="B257" s="5">
        <f t="shared" si="96"/>
        <v>76.900000000000006</v>
      </c>
      <c r="C257" s="56">
        <f t="shared" si="97"/>
        <v>53936</v>
      </c>
      <c r="D257" s="57">
        <f ca="1">IF(AND(B256&lt;59.5,OR(B257&gt;59.5,B257=59.5)),(D256-E256+J256-K256)*(1+'Retirement Planning'!$J$23/12),(D256-E256)*(1+'Retirement Planning'!$J$23/12))</f>
        <v>529223.7053318884</v>
      </c>
      <c r="E257" s="58">
        <f t="shared" ca="1" si="84"/>
        <v>1356.4709241207875</v>
      </c>
      <c r="F257" s="57">
        <f ca="1">IF(AND(OR(B257&gt;59.5,B257=59.5),B256&lt;59.5),(F256-G256+L256-M256+N256-O256)*(1+'Retirement Planning'!$J$23/12),(F256-G256)*(1+'Retirement Planning'!$J$23/12))</f>
        <v>1415794.9800188835</v>
      </c>
      <c r="G257" s="58">
        <f ca="1">IF(AND($B$10&lt;55,B257&lt;59.5),'Retirement Planning'!$J$25,IF(OR(B257&gt;59.5,B257=59.5),MAX(0,MIN(F257,IF(D257&lt;2500,((Y257+AJ257+AA257))-X257,((Y257+AJ257+AA257)*'Retirement Planning'!$J$44)-X257))),0))</f>
        <v>9495.3809799009596</v>
      </c>
      <c r="H257" s="255">
        <f ca="1">IF(MONTH(C257)=1,IF(B257&gt;69.5,F257/(INDEX('Retirement Planning'!D$1:D$264,(160+INT(B257))))/12,0),IF(F257=0,0,H256))</f>
        <v>8782.2373900526927</v>
      </c>
      <c r="I257" s="262">
        <f t="shared" ca="1" si="85"/>
        <v>0</v>
      </c>
      <c r="J257" s="254">
        <f ca="1">IF(AND(B256&lt;59.5,OR(B257=59.5,B257&gt;59.5)),0,(J256-K256)*(1+'Retirement Planning'!$J$23/12))</f>
        <v>0</v>
      </c>
      <c r="K257" s="58">
        <f t="shared" ca="1" si="86"/>
        <v>0</v>
      </c>
      <c r="L257" s="57">
        <f>IF(AND(OR(B257&gt;59.5,B257=59.5),B256&lt;59.5),0,(L256-M256)*(1+'Retirement Planning'!$J$23/12))</f>
        <v>0</v>
      </c>
      <c r="M257" s="59">
        <f>IF(AND($B$10&lt;55,B257&lt;59.5),0,IF(B257&lt;59.5,MAX(0,MIN((($Y257+$AJ257+AA257)*'Retirement Planning'!$J$44)-$G257-$X257,L257)),0))</f>
        <v>0</v>
      </c>
      <c r="N257" s="57">
        <f ca="1">(N256-O256)*(1+'Retirement Planning'!$J$23/12)</f>
        <v>0</v>
      </c>
      <c r="O257" s="59">
        <f ca="1">IF(B257&gt;59.5,MAX(0,MIN((AA257+$Y257+$AJ257)*(IF(D257&lt;(MIN(E245:E256)+1),1,'Retirement Planning'!$J$44))-M257-$G257-$X257-(IF(D257&lt;(MIN(E245:E256)+1),D257,0)),N257)),0)</f>
        <v>0</v>
      </c>
      <c r="P257" s="57">
        <f t="shared" si="98"/>
        <v>0</v>
      </c>
      <c r="Q257" s="58">
        <f t="shared" si="99"/>
        <v>0</v>
      </c>
      <c r="R257" s="57">
        <f ca="1">(R256-S256-T256)*(1+'Retirement Planning'!$J$23/12)</f>
        <v>618327.16956292931</v>
      </c>
      <c r="S257" s="58">
        <f t="shared" ca="1" si="100"/>
        <v>808.33333333333337</v>
      </c>
      <c r="T257" s="273">
        <f t="shared" ca="1" si="87"/>
        <v>6.8212102632969618E-13</v>
      </c>
      <c r="U257" s="57">
        <f ca="1">(U256-V256)*(1+'Retirement Planning'!$J$23/12)</f>
        <v>436604.69672405504</v>
      </c>
      <c r="V257" s="24">
        <f ca="1">IF(AND($B$10&lt;55,B257&lt;59.5),MIN(U257,MAX(0,(Y257+AA257+AJ257-G257)*'Retirement Planning'!$J$45)),IF(B257&lt;59.5,(MIN(U257,MAX(0,((Y257+AA257+AJ257)-G257-M257)*'Retirement Planning'!$J$45))),MIN(U257,MAX(0,(Y257+AA257+AJ257-G257-M257-K257-X257)*'Retirement Planning'!$J$45))))</f>
        <v>1155.5122686954855</v>
      </c>
      <c r="W257" s="7">
        <f t="shared" ca="1" si="88"/>
        <v>2999950.5516377562</v>
      </c>
      <c r="X257" s="7">
        <f>(IF(B257&gt;'Retirement Planning'!$J$34,IF('Retirement Planning'!$J$34=70,'Retirement Planning'!$J$37/12,IF('Retirement Planning'!$J$34=67,'Retirement Planning'!$J$36/12,'Retirement Planning'!$J$35/12)),0))*'Retirement Planning'!$J$38</f>
        <v>1213.6000000000001</v>
      </c>
      <c r="Y257" s="7">
        <f ca="1">'Retirement Planning'!$F$35*((1+'Retirement Planning'!$J$24)^(YEAR('Projected Retirement Drawdown'!C257)-YEAR(TODAY())))</f>
        <v>10330.045030733656</v>
      </c>
      <c r="Z257" s="7">
        <f ca="1">G257+M257+O257+0.85*X257+V257*'Retirement Planning'!$J$46+T257</f>
        <v>11162.472727683476</v>
      </c>
      <c r="AA257" s="7">
        <f ca="1">IF(MONTH(C257)=1,(((MIN(MAX(0,((SUM(Z245:Z256)-'Retirement Planning'!$I$53-'Retirement Planning'!$I$54)-'Retirement Planning'!$J$51)*'Retirement Planning'!$I$52))))+(MIN(MAX(0,((SUM(Z245:Z256)-'Retirement Planning'!$I$53-'Retirement Planning'!$I$54)-'Retirement Planning'!$J$50)*'Retirement Planning'!$I$51),('Retirement Planning'!$J$51-'Retirement Planning'!$J$50)*'Retirement Planning'!$I$51))+(MIN(MAX(0,((SUM(Z245:Z256)-'Retirement Planning'!$I$53-'Retirement Planning'!$I$54)-'Retirement Planning'!$J$49)*'Retirement Planning'!$I$50),('Retirement Planning'!$J$50-'Retirement Planning'!$J$49)*'Retirement Planning'!$I$50)+MIN(MAX(0,((SUM(Z245:Z256)-'Retirement Planning'!$I$53-'Retirement Planning'!$I$54)-'Retirement Planning'!$J$48)*'Retirement Planning'!$I$49),('Retirement Planning'!$J$49-'Retirement Planning'!$J$48)*'Retirement Planning'!$I$49)+MIN(((SUM(Z245:Z256)-'Retirement Planning'!$I$53-'Retirement Planning'!$I$54))*'Retirement Planning'!$I$48,('Retirement Planning'!$J$48)*'Retirement Planning'!$I$48))+(IF((SUM(Z245:Z256)-'Retirement Planning'!$I$54-'Retirement Planning'!$I$61)&gt;'Retirement Planning'!$J$59,(SUM(Z245:Z256)-'Retirement Planning'!$I$54-'Retirement Planning'!$I$61-'Retirement Planning'!$J$59)*'Retirement Planning'!$I$60+'Retirement Planning'!$K$59,IF((SUM(Z245:Z256)-'Retirement Planning'!$I$54-'Retirement Planning'!$I$61)&gt;'Retirement Planning'!$J$58,(SUM(Z245:Z256)-'Retirement Planning'!$I$54-'Retirement Planning'!$I$61-'Retirement Planning'!$J$58)*'Retirement Planning'!$I$59+'Retirement Planning'!$K$58,IF((SUM(Z245:Z256)-'Retirement Planning'!$I$54-'Retirement Planning'!$I$61)&gt;'Retirement Planning'!$J$57,(SUM(Z245:Z256)-'Retirement Planning'!$I$54-'Retirement Planning'!$I$61-'Retirement Planning'!$J$57)*'Retirement Planning'!$I$58+'Retirement Planning'!$K$57,IF((SUM(Z245:Z256)-'Retirement Planning'!$I$54-'Retirement Planning'!$I$61)&gt;'Retirement Planning'!$J$56,(SUM(Z245:Z256)-'Retirement Planning'!$I$54-'Retirement Planning'!$I$61-'Retirement Planning'!$J$56)*'Retirement Planning'!$I$57+'Retirement Planning'!$K$56,(SUM(Z245:Z256)-'Retirement Planning'!$I$54-'Retirement Planning'!$I$61)*'Retirement Planning'!$I$56))))))/12,AA256)</f>
        <v>2574.2524753169114</v>
      </c>
      <c r="AB257" s="104">
        <f t="shared" ca="1" si="106"/>
        <v>0.23938994458082449</v>
      </c>
      <c r="AC257" s="7">
        <f>IF(B257&lt;65,'Retirement Planning'!$J$28,0)</f>
        <v>0</v>
      </c>
      <c r="AD257" s="7">
        <f>IF(B257&lt;65,'Retirement Planning'!$J$29/12,0)</f>
        <v>0</v>
      </c>
      <c r="AE257" s="22">
        <f>'Retirement Planning'!$J$31/12</f>
        <v>58.333333333333336</v>
      </c>
      <c r="AF257" s="22">
        <f>'Retirement Planning'!$J$32/12</f>
        <v>66.666666666666671</v>
      </c>
      <c r="AG257" s="7">
        <f>IF($B257&gt;64.9,'Retirement Planning'!$J$39/12,0)</f>
        <v>183.33333333333334</v>
      </c>
      <c r="AH257" s="7">
        <f>IF($B257&gt;64.9,'Retirement Planning'!$J$40/12,0)</f>
        <v>258.33333333333331</v>
      </c>
      <c r="AI257" s="7">
        <f>IF($B257&gt;64.9,'Retirement Planning'!$J$41/12,0)</f>
        <v>558.33333333333337</v>
      </c>
      <c r="AJ257" s="7">
        <f t="shared" ca="1" si="89"/>
        <v>316.66666666666663</v>
      </c>
      <c r="AK257" s="3" t="str">
        <f t="shared" ca="1" si="90"/>
        <v>N/A</v>
      </c>
      <c r="AL257" s="6" t="str">
        <f t="shared" ca="1" si="91"/>
        <v>N/A</v>
      </c>
      <c r="AM257" s="7">
        <f t="shared" ca="1" si="92"/>
        <v>1.1368683772161603E-12</v>
      </c>
      <c r="AN257" s="7">
        <f t="shared" ca="1" si="93"/>
        <v>14029.297506050567</v>
      </c>
      <c r="AO257" s="7">
        <f t="shared" si="94"/>
        <v>1125</v>
      </c>
    </row>
    <row r="258" spans="1:41" x14ac:dyDescent="0.2">
      <c r="A258">
        <f t="shared" si="95"/>
        <v>50</v>
      </c>
      <c r="B258" s="5">
        <f t="shared" si="96"/>
        <v>77</v>
      </c>
      <c r="C258" s="56">
        <f t="shared" si="97"/>
        <v>53966</v>
      </c>
      <c r="D258" s="57">
        <f ca="1">IF(AND(B257&lt;59.5,OR(B258&gt;59.5,B258=59.5)),(D257-E257+J257-K257)*(1+'Retirement Planning'!$J$23/12),(D257-E257)*(1+'Retirement Planning'!$J$23/12))</f>
        <v>531606.2939848227</v>
      </c>
      <c r="E258" s="58">
        <f t="shared" ca="1" si="84"/>
        <v>1356.4709241207875</v>
      </c>
      <c r="F258" s="57">
        <f ca="1">IF(AND(OR(B258&gt;59.5,B258=59.5),B257&lt;59.5),(F257-G257+L257-M257+N257-O257)*(1+'Retirement Planning'!$J$23/12),(F257-G257)*(1+'Retirement Planning'!$J$23/12))</f>
        <v>1416260.8878655087</v>
      </c>
      <c r="G258" s="58">
        <f ca="1">IF(AND($B$10&lt;55,B258&lt;59.5),'Retirement Planning'!$J$25,IF(OR(B258&gt;59.5,B258=59.5),MAX(0,MIN(F258,IF(D258&lt;2500,((Y258+AJ258+AA258))-X258,((Y258+AJ258+AA258)*'Retirement Planning'!$J$44)-X258))),0))</f>
        <v>9495.3809799009596</v>
      </c>
      <c r="H258" s="255">
        <f ca="1">IF(MONTH(C258)=1,IF(B258&gt;69.5,F258/(INDEX('Retirement Planning'!D$1:D$264,(160+INT(B258))))/12,0),IF(F258=0,0,H257))</f>
        <v>8782.2373900526927</v>
      </c>
      <c r="I258" s="262">
        <f t="shared" ca="1" si="85"/>
        <v>0</v>
      </c>
      <c r="J258" s="254">
        <f ca="1">IF(AND(B257&lt;59.5,OR(B258=59.5,B258&gt;59.5)),0,(J257-K257)*(1+'Retirement Planning'!$J$23/12))</f>
        <v>0</v>
      </c>
      <c r="K258" s="58">
        <f t="shared" ca="1" si="86"/>
        <v>0</v>
      </c>
      <c r="L258" s="57">
        <f>IF(AND(OR(B258&gt;59.5,B258=59.5),B257&lt;59.5),0,(L257-M257)*(1+'Retirement Planning'!$J$23/12))</f>
        <v>0</v>
      </c>
      <c r="M258" s="59">
        <f>IF(AND($B$10&lt;55,B258&lt;59.5),0,IF(B258&lt;59.5,MAX(0,MIN((($Y258+$AJ258+AA258)*'Retirement Planning'!$J$44)-$G258-$X258,L258)),0))</f>
        <v>0</v>
      </c>
      <c r="N258" s="57">
        <f ca="1">(N257-O257)*(1+'Retirement Planning'!$J$23/12)</f>
        <v>0</v>
      </c>
      <c r="O258" s="59">
        <f ca="1">IF(B258&gt;59.5,MAX(0,MIN((AA258+$Y258+$AJ258)*(IF(D258&lt;(MIN(E246:E257)+1),1,'Retirement Planning'!$J$44))-M258-$G258-$X258-(IF(D258&lt;(MIN(E246:E257)+1),D258,0)),N258)),0)</f>
        <v>0</v>
      </c>
      <c r="P258" s="57">
        <f t="shared" si="98"/>
        <v>0</v>
      </c>
      <c r="Q258" s="58">
        <f t="shared" si="99"/>
        <v>0</v>
      </c>
      <c r="R258" s="57">
        <f ca="1">(R257-S257-T257)*(1+'Retirement Planning'!$J$23/12)</f>
        <v>621892.9279862222</v>
      </c>
      <c r="S258" s="58">
        <f t="shared" ca="1" si="100"/>
        <v>808.33333333333337</v>
      </c>
      <c r="T258" s="273">
        <f t="shared" ca="1" si="87"/>
        <v>6.8212102632969618E-13</v>
      </c>
      <c r="U258" s="57">
        <f ca="1">(U257-V257)*(1+'Retirement Planning'!$J$23/12)</f>
        <v>438533.61617858504</v>
      </c>
      <c r="V258" s="24">
        <f ca="1">IF(AND($B$10&lt;55,B258&lt;59.5),MIN(U258,MAX(0,(Y258+AA258+AJ258-G258)*'Retirement Planning'!$J$45)),IF(B258&lt;59.5,(MIN(U258,MAX(0,((Y258+AA258+AJ258)-G258-M258)*'Retirement Planning'!$J$45))),MIN(U258,MAX(0,(Y258+AA258+AJ258-G258-M258-K258-X258)*'Retirement Planning'!$J$45))))</f>
        <v>1155.5122686954855</v>
      </c>
      <c r="W258" s="7">
        <f t="shared" ca="1" si="88"/>
        <v>3008293.7260151389</v>
      </c>
      <c r="X258" s="7">
        <f>(IF(B258&gt;'Retirement Planning'!$J$34,IF('Retirement Planning'!$J$34=70,'Retirement Planning'!$J$37/12,IF('Retirement Planning'!$J$34=67,'Retirement Planning'!$J$36/12,'Retirement Planning'!$J$35/12)),0))*'Retirement Planning'!$J$38</f>
        <v>1213.6000000000001</v>
      </c>
      <c r="Y258" s="7">
        <f ca="1">'Retirement Planning'!$F$35*((1+'Retirement Planning'!$J$24)^(YEAR('Projected Retirement Drawdown'!C258)-YEAR(TODAY())))</f>
        <v>10330.045030733656</v>
      </c>
      <c r="Z258" s="7">
        <f ca="1">G258+M258+O258+0.85*X258+V258*'Retirement Planning'!$J$46+T258</f>
        <v>11162.472727683476</v>
      </c>
      <c r="AA258" s="7">
        <f ca="1">IF(MONTH(C258)=1,(((MIN(MAX(0,((SUM(Z246:Z257)-'Retirement Planning'!$I$53-'Retirement Planning'!$I$54)-'Retirement Planning'!$J$51)*'Retirement Planning'!$I$52))))+(MIN(MAX(0,((SUM(Z246:Z257)-'Retirement Planning'!$I$53-'Retirement Planning'!$I$54)-'Retirement Planning'!$J$50)*'Retirement Planning'!$I$51),('Retirement Planning'!$J$51-'Retirement Planning'!$J$50)*'Retirement Planning'!$I$51))+(MIN(MAX(0,((SUM(Z246:Z257)-'Retirement Planning'!$I$53-'Retirement Planning'!$I$54)-'Retirement Planning'!$J$49)*'Retirement Planning'!$I$50),('Retirement Planning'!$J$50-'Retirement Planning'!$J$49)*'Retirement Planning'!$I$50)+MIN(MAX(0,((SUM(Z246:Z257)-'Retirement Planning'!$I$53-'Retirement Planning'!$I$54)-'Retirement Planning'!$J$48)*'Retirement Planning'!$I$49),('Retirement Planning'!$J$49-'Retirement Planning'!$J$48)*'Retirement Planning'!$I$49)+MIN(((SUM(Z246:Z257)-'Retirement Planning'!$I$53-'Retirement Planning'!$I$54))*'Retirement Planning'!$I$48,('Retirement Planning'!$J$48)*'Retirement Planning'!$I$48))+(IF((SUM(Z246:Z257)-'Retirement Planning'!$I$54-'Retirement Planning'!$I$61)&gt;'Retirement Planning'!$J$59,(SUM(Z246:Z257)-'Retirement Planning'!$I$54-'Retirement Planning'!$I$61-'Retirement Planning'!$J$59)*'Retirement Planning'!$I$60+'Retirement Planning'!$K$59,IF((SUM(Z246:Z257)-'Retirement Planning'!$I$54-'Retirement Planning'!$I$61)&gt;'Retirement Planning'!$J$58,(SUM(Z246:Z257)-'Retirement Planning'!$I$54-'Retirement Planning'!$I$61-'Retirement Planning'!$J$58)*'Retirement Planning'!$I$59+'Retirement Planning'!$K$58,IF((SUM(Z246:Z257)-'Retirement Planning'!$I$54-'Retirement Planning'!$I$61)&gt;'Retirement Planning'!$J$57,(SUM(Z246:Z257)-'Retirement Planning'!$I$54-'Retirement Planning'!$I$61-'Retirement Planning'!$J$57)*'Retirement Planning'!$I$58+'Retirement Planning'!$K$57,IF((SUM(Z246:Z257)-'Retirement Planning'!$I$54-'Retirement Planning'!$I$61)&gt;'Retirement Planning'!$J$56,(SUM(Z246:Z257)-'Retirement Planning'!$I$54-'Retirement Planning'!$I$61-'Retirement Planning'!$J$56)*'Retirement Planning'!$I$57+'Retirement Planning'!$K$56,(SUM(Z246:Z257)-'Retirement Planning'!$I$54-'Retirement Planning'!$I$61)*'Retirement Planning'!$I$56))))))/12,AA257)</f>
        <v>2574.2524753169114</v>
      </c>
      <c r="AB258" s="104">
        <f t="shared" ca="1" si="106"/>
        <v>0.23938994458082449</v>
      </c>
      <c r="AC258" s="7">
        <f>IF(B258&lt;65,'Retirement Planning'!$J$28,0)</f>
        <v>0</v>
      </c>
      <c r="AD258" s="7">
        <f>IF(B258&lt;65,'Retirement Planning'!$J$29/12,0)</f>
        <v>0</v>
      </c>
      <c r="AE258" s="22">
        <f>'Retirement Planning'!$J$31/12</f>
        <v>58.333333333333336</v>
      </c>
      <c r="AF258" s="22">
        <f>'Retirement Planning'!$J$32/12</f>
        <v>66.666666666666671</v>
      </c>
      <c r="AG258" s="7">
        <f>IF($B258&gt;64.9,'Retirement Planning'!$J$39/12,0)</f>
        <v>183.33333333333334</v>
      </c>
      <c r="AH258" s="7">
        <f>IF($B258&gt;64.9,'Retirement Planning'!$J$40/12,0)</f>
        <v>258.33333333333331</v>
      </c>
      <c r="AI258" s="7">
        <f>IF($B258&gt;64.9,'Retirement Planning'!$J$41/12,0)</f>
        <v>558.33333333333337</v>
      </c>
      <c r="AJ258" s="7">
        <f t="shared" ca="1" si="89"/>
        <v>316.66666666666663</v>
      </c>
      <c r="AK258" s="3" t="str">
        <f t="shared" ca="1" si="90"/>
        <v>N/A</v>
      </c>
      <c r="AL258" s="6" t="str">
        <f t="shared" ca="1" si="91"/>
        <v>N/A</v>
      </c>
      <c r="AM258" s="7">
        <f t="shared" ca="1" si="92"/>
        <v>1.1368683772161603E-12</v>
      </c>
      <c r="AN258" s="7">
        <f t="shared" ca="1" si="93"/>
        <v>14029.297506050567</v>
      </c>
      <c r="AO258" s="7">
        <f t="shared" si="94"/>
        <v>1125</v>
      </c>
    </row>
    <row r="259" spans="1:41" x14ac:dyDescent="0.2">
      <c r="A259">
        <f t="shared" si="95"/>
        <v>50</v>
      </c>
      <c r="B259" s="5">
        <f t="shared" si="96"/>
        <v>77</v>
      </c>
      <c r="C259" s="56">
        <f t="shared" si="97"/>
        <v>53997</v>
      </c>
      <c r="D259" s="57">
        <f ca="1">IF(AND(B258&lt;59.5,OR(B259&gt;59.5,B259=59.5)),(D258-E258+J258-K258)*(1+'Retirement Planning'!$J$23/12),(D258-E258)*(1+'Retirement Planning'!$J$23/12))</f>
        <v>534005.75930738193</v>
      </c>
      <c r="E259" s="58">
        <f t="shared" ca="1" si="84"/>
        <v>1356.4709241207875</v>
      </c>
      <c r="F259" s="57">
        <f ca="1">IF(AND(OR(B259&gt;59.5,B259=59.5),B258&lt;59.5),(F258-G258+L258-M258+N258-O258)*(1+'Retirement Planning'!$J$23/12),(F258-G258)*(1+'Retirement Planning'!$J$23/12))</f>
        <v>1416730.0958927141</v>
      </c>
      <c r="G259" s="58">
        <f ca="1">IF(AND($B$10&lt;55,B259&lt;59.5),'Retirement Planning'!$J$25,IF(OR(B259&gt;59.5,B259=59.5),MAX(0,MIN(F259,IF(D259&lt;2500,((Y259+AJ259+AA259))-X259,((Y259+AJ259+AA259)*'Retirement Planning'!$J$44)-X259))),0))</f>
        <v>9495.3809799009596</v>
      </c>
      <c r="H259" s="255">
        <f ca="1">IF(MONTH(C259)=1,IF(B259&gt;69.5,F259/(INDEX('Retirement Planning'!D$1:D$264,(160+INT(B259))))/12,0),IF(F259=0,0,H258))</f>
        <v>8782.2373900526927</v>
      </c>
      <c r="I259" s="262">
        <f t="shared" ca="1" si="85"/>
        <v>0</v>
      </c>
      <c r="J259" s="254">
        <f ca="1">IF(AND(B258&lt;59.5,OR(B259=59.5,B259&gt;59.5)),0,(J258-K258)*(1+'Retirement Planning'!$J$23/12))</f>
        <v>0</v>
      </c>
      <c r="K259" s="58">
        <f t="shared" ca="1" si="86"/>
        <v>0</v>
      </c>
      <c r="L259" s="57">
        <f>IF(AND(OR(B259&gt;59.5,B259=59.5),B258&lt;59.5),0,(L258-M258)*(1+'Retirement Planning'!$J$23/12))</f>
        <v>0</v>
      </c>
      <c r="M259" s="59">
        <f>IF(AND($B$10&lt;55,B259&lt;59.5),0,IF(B259&lt;59.5,MAX(0,MIN((($Y259+$AJ259+AA259)*'Retirement Planning'!$J$44)-$G259-$X259,L259)),0))</f>
        <v>0</v>
      </c>
      <c r="N259" s="57">
        <f ca="1">(N258-O258)*(1+'Retirement Planning'!$J$23/12)</f>
        <v>0</v>
      </c>
      <c r="O259" s="59">
        <f ca="1">IF(B259&gt;59.5,MAX(0,MIN((AA259+$Y259+$AJ259)*(IF(D259&lt;(MIN(E247:E258)+1),1,'Retirement Planning'!$J$44))-M259-$G259-$X259-(IF(D259&lt;(MIN(E247:E258)+1),D259,0)),N259)),0)</f>
        <v>0</v>
      </c>
      <c r="P259" s="57">
        <f t="shared" si="98"/>
        <v>0</v>
      </c>
      <c r="Q259" s="58">
        <f t="shared" si="99"/>
        <v>0</v>
      </c>
      <c r="R259" s="57">
        <f ca="1">(R258-S258-T258)*(1+'Retirement Planning'!$J$23/12)</f>
        <v>625483.94386501343</v>
      </c>
      <c r="S259" s="58">
        <f t="shared" ca="1" si="100"/>
        <v>808.33333333333337</v>
      </c>
      <c r="T259" s="273">
        <f t="shared" ca="1" si="87"/>
        <v>6.8212102632969618E-13</v>
      </c>
      <c r="U259" s="57">
        <f ca="1">(U258-V258)*(1+'Retirement Planning'!$J$23/12)</f>
        <v>440476.19881258463</v>
      </c>
      <c r="V259" s="24">
        <f ca="1">IF(AND($B$10&lt;55,B259&lt;59.5),MIN(U259,MAX(0,(Y259+AA259+AJ259-G259)*'Retirement Planning'!$J$45)),IF(B259&lt;59.5,(MIN(U259,MAX(0,((Y259+AA259+AJ259)-G259-M259)*'Retirement Planning'!$J$45))),MIN(U259,MAX(0,(Y259+AA259+AJ259-G259-M259-K259-X259)*'Retirement Planning'!$J$45))))</f>
        <v>1155.5122686954855</v>
      </c>
      <c r="W259" s="7">
        <f t="shared" ca="1" si="88"/>
        <v>3016695.9978776937</v>
      </c>
      <c r="X259" s="7">
        <f>(IF(B259&gt;'Retirement Planning'!$J$34,IF('Retirement Planning'!$J$34=70,'Retirement Planning'!$J$37/12,IF('Retirement Planning'!$J$34=67,'Retirement Planning'!$J$36/12,'Retirement Planning'!$J$35/12)),0))*'Retirement Planning'!$J$38</f>
        <v>1213.6000000000001</v>
      </c>
      <c r="Y259" s="7">
        <f ca="1">'Retirement Planning'!$F$35*((1+'Retirement Planning'!$J$24)^(YEAR('Projected Retirement Drawdown'!C259)-YEAR(TODAY())))</f>
        <v>10330.045030733656</v>
      </c>
      <c r="Z259" s="7">
        <f ca="1">G259+M259+O259+0.85*X259+V259*'Retirement Planning'!$J$46+T259</f>
        <v>11162.472727683476</v>
      </c>
      <c r="AA259" s="7">
        <f ca="1">IF(MONTH(C259)=1,(((MIN(MAX(0,((SUM(Z247:Z258)-'Retirement Planning'!$I$53-'Retirement Planning'!$I$54)-'Retirement Planning'!$J$51)*'Retirement Planning'!$I$52))))+(MIN(MAX(0,((SUM(Z247:Z258)-'Retirement Planning'!$I$53-'Retirement Planning'!$I$54)-'Retirement Planning'!$J$50)*'Retirement Planning'!$I$51),('Retirement Planning'!$J$51-'Retirement Planning'!$J$50)*'Retirement Planning'!$I$51))+(MIN(MAX(0,((SUM(Z247:Z258)-'Retirement Planning'!$I$53-'Retirement Planning'!$I$54)-'Retirement Planning'!$J$49)*'Retirement Planning'!$I$50),('Retirement Planning'!$J$50-'Retirement Planning'!$J$49)*'Retirement Planning'!$I$50)+MIN(MAX(0,((SUM(Z247:Z258)-'Retirement Planning'!$I$53-'Retirement Planning'!$I$54)-'Retirement Planning'!$J$48)*'Retirement Planning'!$I$49),('Retirement Planning'!$J$49-'Retirement Planning'!$J$48)*'Retirement Planning'!$I$49)+MIN(((SUM(Z247:Z258)-'Retirement Planning'!$I$53-'Retirement Planning'!$I$54))*'Retirement Planning'!$I$48,('Retirement Planning'!$J$48)*'Retirement Planning'!$I$48))+(IF((SUM(Z247:Z258)-'Retirement Planning'!$I$54-'Retirement Planning'!$I$61)&gt;'Retirement Planning'!$J$59,(SUM(Z247:Z258)-'Retirement Planning'!$I$54-'Retirement Planning'!$I$61-'Retirement Planning'!$J$59)*'Retirement Planning'!$I$60+'Retirement Planning'!$K$59,IF((SUM(Z247:Z258)-'Retirement Planning'!$I$54-'Retirement Planning'!$I$61)&gt;'Retirement Planning'!$J$58,(SUM(Z247:Z258)-'Retirement Planning'!$I$54-'Retirement Planning'!$I$61-'Retirement Planning'!$J$58)*'Retirement Planning'!$I$59+'Retirement Planning'!$K$58,IF((SUM(Z247:Z258)-'Retirement Planning'!$I$54-'Retirement Planning'!$I$61)&gt;'Retirement Planning'!$J$57,(SUM(Z247:Z258)-'Retirement Planning'!$I$54-'Retirement Planning'!$I$61-'Retirement Planning'!$J$57)*'Retirement Planning'!$I$58+'Retirement Planning'!$K$57,IF((SUM(Z247:Z258)-'Retirement Planning'!$I$54-'Retirement Planning'!$I$61)&gt;'Retirement Planning'!$J$56,(SUM(Z247:Z258)-'Retirement Planning'!$I$54-'Retirement Planning'!$I$61-'Retirement Planning'!$J$56)*'Retirement Planning'!$I$57+'Retirement Planning'!$K$56,(SUM(Z247:Z258)-'Retirement Planning'!$I$54-'Retirement Planning'!$I$61)*'Retirement Planning'!$I$56))))))/12,AA258)</f>
        <v>2574.2524753169114</v>
      </c>
      <c r="AB259" s="104">
        <f t="shared" ca="1" si="106"/>
        <v>0.23938994458082449</v>
      </c>
      <c r="AC259" s="7">
        <f>IF(B259&lt;65,'Retirement Planning'!$J$28,0)</f>
        <v>0</v>
      </c>
      <c r="AD259" s="7">
        <f>IF(B259&lt;65,'Retirement Planning'!$J$29/12,0)</f>
        <v>0</v>
      </c>
      <c r="AE259" s="22">
        <f>'Retirement Planning'!$J$31/12</f>
        <v>58.333333333333336</v>
      </c>
      <c r="AF259" s="22">
        <f>'Retirement Planning'!$J$32/12</f>
        <v>66.666666666666671</v>
      </c>
      <c r="AG259" s="7">
        <f>IF($B259&gt;64.9,'Retirement Planning'!$J$39/12,0)</f>
        <v>183.33333333333334</v>
      </c>
      <c r="AH259" s="7">
        <f>IF($B259&gt;64.9,'Retirement Planning'!$J$40/12,0)</f>
        <v>258.33333333333331</v>
      </c>
      <c r="AI259" s="7">
        <f>IF($B259&gt;64.9,'Retirement Planning'!$J$41/12,0)</f>
        <v>558.33333333333337</v>
      </c>
      <c r="AJ259" s="7">
        <f t="shared" ca="1" si="89"/>
        <v>316.66666666666663</v>
      </c>
      <c r="AK259" s="3" t="str">
        <f t="shared" ca="1" si="90"/>
        <v>N/A</v>
      </c>
      <c r="AL259" s="6" t="str">
        <f t="shared" ca="1" si="91"/>
        <v>N/A</v>
      </c>
      <c r="AM259" s="7">
        <f t="shared" ca="1" si="92"/>
        <v>1.1368683772161603E-12</v>
      </c>
      <c r="AN259" s="7">
        <f t="shared" ca="1" si="93"/>
        <v>14029.297506050567</v>
      </c>
      <c r="AO259" s="7">
        <f t="shared" si="94"/>
        <v>1125</v>
      </c>
    </row>
    <row r="260" spans="1:41" x14ac:dyDescent="0.2">
      <c r="A260">
        <f t="shared" si="95"/>
        <v>50</v>
      </c>
      <c r="B260" s="5">
        <f t="shared" si="96"/>
        <v>77.099999999999994</v>
      </c>
      <c r="C260" s="56">
        <f t="shared" si="97"/>
        <v>54027</v>
      </c>
      <c r="D260" s="57">
        <f ca="1">IF(AND(B259&lt;59.5,OR(B260&gt;59.5,B260=59.5)),(D259-E259+J259-K259)*(1+'Retirement Planning'!$J$23/12),(D259-E259)*(1+'Retirement Planning'!$J$23/12))</f>
        <v>536422.22084264259</v>
      </c>
      <c r="E260" s="58">
        <f t="shared" ca="1" si="84"/>
        <v>1356.4709241207875</v>
      </c>
      <c r="F260" s="57">
        <f ca="1">IF(AND(OR(B260&gt;59.5,B260=59.5),B259&lt;59.5),(F259-G259+L259-M259+N259-O259)*(1+'Retirement Planning'!$J$23/12),(F259-G259)*(1+'Retirement Planning'!$J$23/12))</f>
        <v>1417202.6274767788</v>
      </c>
      <c r="G260" s="58">
        <f ca="1">IF(AND($B$10&lt;55,B260&lt;59.5),'Retirement Planning'!$J$25,IF(OR(B260&gt;59.5,B260=59.5),MAX(0,MIN(F260,IF(D260&lt;2500,((Y260+AJ260+AA260))-X260,((Y260+AJ260+AA260)*'Retirement Planning'!$J$44)-X260))),0))</f>
        <v>9495.3809799009596</v>
      </c>
      <c r="H260" s="255">
        <f ca="1">IF(MONTH(C260)=1,IF(B260&gt;69.5,F260/(INDEX('Retirement Planning'!D$1:D$264,(160+INT(B260))))/12,0),IF(F260=0,0,H259))</f>
        <v>8782.2373900526927</v>
      </c>
      <c r="I260" s="262">
        <f t="shared" ca="1" si="85"/>
        <v>0</v>
      </c>
      <c r="J260" s="254">
        <f ca="1">IF(AND(B259&lt;59.5,OR(B260=59.5,B260&gt;59.5)),0,(J259-K259)*(1+'Retirement Planning'!$J$23/12))</f>
        <v>0</v>
      </c>
      <c r="K260" s="58">
        <f t="shared" ca="1" si="86"/>
        <v>0</v>
      </c>
      <c r="L260" s="57">
        <f>IF(AND(OR(B260&gt;59.5,B260=59.5),B259&lt;59.5),0,(L259-M259)*(1+'Retirement Planning'!$J$23/12))</f>
        <v>0</v>
      </c>
      <c r="M260" s="59">
        <f>IF(AND($B$10&lt;55,B260&lt;59.5),0,IF(B260&lt;59.5,MAX(0,MIN((($Y260+$AJ260+AA260)*'Retirement Planning'!$J$44)-$G260-$X260,L260)),0))</f>
        <v>0</v>
      </c>
      <c r="N260" s="57">
        <f ca="1">(N259-O259)*(1+'Retirement Planning'!$J$23/12)</f>
        <v>0</v>
      </c>
      <c r="O260" s="59">
        <f ca="1">IF(B260&gt;59.5,MAX(0,MIN((AA260+$Y260+$AJ260)*(IF(D260&lt;(MIN(E248:E259)+1),1,'Retirement Planning'!$J$44))-M260-$G260-$X260-(IF(D260&lt;(MIN(E248:E259)+1),D260,0)),N260)),0)</f>
        <v>0</v>
      </c>
      <c r="P260" s="57">
        <f t="shared" si="98"/>
        <v>0</v>
      </c>
      <c r="Q260" s="58">
        <f t="shared" si="99"/>
        <v>0</v>
      </c>
      <c r="R260" s="57">
        <f ca="1">(R259-S259-T259)*(1+'Retirement Planning'!$J$23/12)</f>
        <v>629100.39610627946</v>
      </c>
      <c r="S260" s="58">
        <f t="shared" ca="1" si="100"/>
        <v>808.33333333333337</v>
      </c>
      <c r="T260" s="273">
        <f t="shared" ca="1" si="87"/>
        <v>6.8212102632969618E-13</v>
      </c>
      <c r="U260" s="57">
        <f ca="1">(U259-V259)*(1+'Retirement Planning'!$J$23/12)</f>
        <v>442432.54140690831</v>
      </c>
      <c r="V260" s="24">
        <f ca="1">IF(AND($B$10&lt;55,B260&lt;59.5),MIN(U260,MAX(0,(Y260+AA260+AJ260-G260)*'Retirement Planning'!$J$45)),IF(B260&lt;59.5,(MIN(U260,MAX(0,((Y260+AA260+AJ260)-G260-M260)*'Retirement Planning'!$J$45))),MIN(U260,MAX(0,(Y260+AA260+AJ260-G260-M260-K260-X260)*'Retirement Planning'!$J$45))))</f>
        <v>1155.5122686954855</v>
      </c>
      <c r="W260" s="7">
        <f t="shared" ca="1" si="88"/>
        <v>3025157.785832609</v>
      </c>
      <c r="X260" s="7">
        <f>(IF(B260&gt;'Retirement Planning'!$J$34,IF('Retirement Planning'!$J$34=70,'Retirement Planning'!$J$37/12,IF('Retirement Planning'!$J$34=67,'Retirement Planning'!$J$36/12,'Retirement Planning'!$J$35/12)),0))*'Retirement Planning'!$J$38</f>
        <v>1213.6000000000001</v>
      </c>
      <c r="Y260" s="7">
        <f ca="1">'Retirement Planning'!$F$35*((1+'Retirement Planning'!$J$24)^(YEAR('Projected Retirement Drawdown'!C260)-YEAR(TODAY())))</f>
        <v>10330.045030733656</v>
      </c>
      <c r="Z260" s="7">
        <f ca="1">G260+M260+O260+0.85*X260+V260*'Retirement Planning'!$J$46+T260</f>
        <v>11162.472727683476</v>
      </c>
      <c r="AA260" s="7">
        <f ca="1">IF(MONTH(C260)=1,(((MIN(MAX(0,((SUM(Z248:Z259)-'Retirement Planning'!$I$53-'Retirement Planning'!$I$54)-'Retirement Planning'!$J$51)*'Retirement Planning'!$I$52))))+(MIN(MAX(0,((SUM(Z248:Z259)-'Retirement Planning'!$I$53-'Retirement Planning'!$I$54)-'Retirement Planning'!$J$50)*'Retirement Planning'!$I$51),('Retirement Planning'!$J$51-'Retirement Planning'!$J$50)*'Retirement Planning'!$I$51))+(MIN(MAX(0,((SUM(Z248:Z259)-'Retirement Planning'!$I$53-'Retirement Planning'!$I$54)-'Retirement Planning'!$J$49)*'Retirement Planning'!$I$50),('Retirement Planning'!$J$50-'Retirement Planning'!$J$49)*'Retirement Planning'!$I$50)+MIN(MAX(0,((SUM(Z248:Z259)-'Retirement Planning'!$I$53-'Retirement Planning'!$I$54)-'Retirement Planning'!$J$48)*'Retirement Planning'!$I$49),('Retirement Planning'!$J$49-'Retirement Planning'!$J$48)*'Retirement Planning'!$I$49)+MIN(((SUM(Z248:Z259)-'Retirement Planning'!$I$53-'Retirement Planning'!$I$54))*'Retirement Planning'!$I$48,('Retirement Planning'!$J$48)*'Retirement Planning'!$I$48))+(IF((SUM(Z248:Z259)-'Retirement Planning'!$I$54-'Retirement Planning'!$I$61)&gt;'Retirement Planning'!$J$59,(SUM(Z248:Z259)-'Retirement Planning'!$I$54-'Retirement Planning'!$I$61-'Retirement Planning'!$J$59)*'Retirement Planning'!$I$60+'Retirement Planning'!$K$59,IF((SUM(Z248:Z259)-'Retirement Planning'!$I$54-'Retirement Planning'!$I$61)&gt;'Retirement Planning'!$J$58,(SUM(Z248:Z259)-'Retirement Planning'!$I$54-'Retirement Planning'!$I$61-'Retirement Planning'!$J$58)*'Retirement Planning'!$I$59+'Retirement Planning'!$K$58,IF((SUM(Z248:Z259)-'Retirement Planning'!$I$54-'Retirement Planning'!$I$61)&gt;'Retirement Planning'!$J$57,(SUM(Z248:Z259)-'Retirement Planning'!$I$54-'Retirement Planning'!$I$61-'Retirement Planning'!$J$57)*'Retirement Planning'!$I$58+'Retirement Planning'!$K$57,IF((SUM(Z248:Z259)-'Retirement Planning'!$I$54-'Retirement Planning'!$I$61)&gt;'Retirement Planning'!$J$56,(SUM(Z248:Z259)-'Retirement Planning'!$I$54-'Retirement Planning'!$I$61-'Retirement Planning'!$J$56)*'Retirement Planning'!$I$57+'Retirement Planning'!$K$56,(SUM(Z248:Z259)-'Retirement Planning'!$I$54-'Retirement Planning'!$I$61)*'Retirement Planning'!$I$56))))))/12,AA259)</f>
        <v>2574.2524753169114</v>
      </c>
      <c r="AB260" s="104">
        <f t="shared" ca="1" si="106"/>
        <v>0.23938994458082449</v>
      </c>
      <c r="AC260" s="7">
        <f>IF(B260&lt;65,'Retirement Planning'!$J$28,0)</f>
        <v>0</v>
      </c>
      <c r="AD260" s="7">
        <f>IF(B260&lt;65,'Retirement Planning'!$J$29/12,0)</f>
        <v>0</v>
      </c>
      <c r="AE260" s="22">
        <f>'Retirement Planning'!$J$31/12</f>
        <v>58.333333333333336</v>
      </c>
      <c r="AF260" s="22">
        <f>'Retirement Planning'!$J$32/12</f>
        <v>66.666666666666671</v>
      </c>
      <c r="AG260" s="7">
        <f>IF($B260&gt;64.9,'Retirement Planning'!$J$39/12,0)</f>
        <v>183.33333333333334</v>
      </c>
      <c r="AH260" s="7">
        <f>IF($B260&gt;64.9,'Retirement Planning'!$J$40/12,0)</f>
        <v>258.33333333333331</v>
      </c>
      <c r="AI260" s="7">
        <f>IF($B260&gt;64.9,'Retirement Planning'!$J$41/12,0)</f>
        <v>558.33333333333337</v>
      </c>
      <c r="AJ260" s="7">
        <f t="shared" ca="1" si="89"/>
        <v>316.66666666666663</v>
      </c>
      <c r="AK260" s="3" t="str">
        <f t="shared" ca="1" si="90"/>
        <v>N/A</v>
      </c>
      <c r="AL260" s="6" t="str">
        <f t="shared" ca="1" si="91"/>
        <v>N/A</v>
      </c>
      <c r="AM260" s="7">
        <f t="shared" ca="1" si="92"/>
        <v>1.1368683772161603E-12</v>
      </c>
      <c r="AN260" s="7">
        <f t="shared" ca="1" si="93"/>
        <v>14029.297506050567</v>
      </c>
      <c r="AO260" s="7">
        <f t="shared" si="94"/>
        <v>1125</v>
      </c>
    </row>
    <row r="261" spans="1:41" x14ac:dyDescent="0.2">
      <c r="A261">
        <f t="shared" si="95"/>
        <v>50</v>
      </c>
      <c r="B261" s="5">
        <f t="shared" si="96"/>
        <v>77.2</v>
      </c>
      <c r="C261" s="56">
        <f t="shared" si="97"/>
        <v>54058</v>
      </c>
      <c r="D261" s="57">
        <f ca="1">IF(AND(B260&lt;59.5,OR(B261&gt;59.5,B261=59.5)),(D260-E260+J260-K260)*(1+'Retirement Planning'!$J$23/12),(D260-E260)*(1+'Retirement Planning'!$J$23/12))</f>
        <v>538855.79898044467</v>
      </c>
      <c r="E261" s="58">
        <f t="shared" ca="1" si="84"/>
        <v>1407.0979852384062</v>
      </c>
      <c r="F261" s="57">
        <f ca="1">IF(AND(OR(B261&gt;59.5,B261=59.5),B260&lt;59.5),(F260-G260+L260-M260+N260-O260)*(1+'Retirement Planning'!$J$23/12),(F260-G260)*(1+'Retirement Planning'!$J$23/12))</f>
        <v>1417678.506159564</v>
      </c>
      <c r="G261" s="58">
        <f ca="1">IF(AND($B$10&lt;55,B261&lt;59.5),'Retirement Planning'!$J$25,IF(OR(B261&gt;59.5,B261=59.5),MAX(0,MIN(F261,IF(D261&lt;2500,((Y261+AJ261+AA261))-X261,((Y261+AJ261+AA261)*'Retirement Planning'!$J$44)-X261))),0))</f>
        <v>9895.0683045137339</v>
      </c>
      <c r="H261" s="255">
        <f ca="1">IF(MONTH(C261)=1,IF(B261&gt;69.5,F261/(INDEX('Retirement Planning'!D$1:D$264,(160+INT(B261))))/12,0),IF(F261=0,0,H260))</f>
        <v>9302.3524026218111</v>
      </c>
      <c r="I261" s="262">
        <f t="shared" ca="1" si="85"/>
        <v>0</v>
      </c>
      <c r="J261" s="254">
        <f ca="1">IF(AND(B260&lt;59.5,OR(B261=59.5,B261&gt;59.5)),0,(J260-K260)*(1+'Retirement Planning'!$J$23/12))</f>
        <v>0</v>
      </c>
      <c r="K261" s="58">
        <f t="shared" ca="1" si="86"/>
        <v>0</v>
      </c>
      <c r="L261" s="57">
        <f>IF(AND(OR(B261&gt;59.5,B261=59.5),B260&lt;59.5),0,(L260-M260)*(1+'Retirement Planning'!$J$23/12))</f>
        <v>0</v>
      </c>
      <c r="M261" s="59">
        <f>IF(AND($B$10&lt;55,B261&lt;59.5),0,IF(B261&lt;59.5,MAX(0,MIN((($Y261+$AJ261+AA261)*'Retirement Planning'!$J$44)-$G261-$X261,L261)),0))</f>
        <v>0</v>
      </c>
      <c r="N261" s="57">
        <f ca="1">(N260-O260)*(1+'Retirement Planning'!$J$23/12)</f>
        <v>0</v>
      </c>
      <c r="O261" s="59">
        <f ca="1">IF(B261&gt;59.5,MAX(0,MIN((AA261+$Y261+$AJ261)*(IF(D261&lt;(MIN(E249:E260)+1),1,'Retirement Planning'!$J$44))-M261-$G261-$X261-(IF(D261&lt;(MIN(E249:E260)+1),D261,0)),N261)),0)</f>
        <v>0</v>
      </c>
      <c r="P261" s="57">
        <f t="shared" si="98"/>
        <v>0</v>
      </c>
      <c r="Q261" s="58">
        <f t="shared" si="99"/>
        <v>0</v>
      </c>
      <c r="R261" s="57">
        <f ca="1">(R260-S260-T260)*(1+'Retirement Planning'!$J$23/12)</f>
        <v>632742.4648842545</v>
      </c>
      <c r="S261" s="58">
        <f t="shared" ca="1" si="100"/>
        <v>808.33333333333337</v>
      </c>
      <c r="T261" s="273">
        <f t="shared" ca="1" si="87"/>
        <v>2.2737367544323206E-13</v>
      </c>
      <c r="U261" s="57">
        <f ca="1">(U260-V260)*(1+'Retirement Planning'!$J$23/12)</f>
        <v>444402.74142794177</v>
      </c>
      <c r="V261" s="24">
        <f ca="1">IF(AND($B$10&lt;55,B261&lt;59.5),MIN(U261,MAX(0,(Y261+AA261+AJ261-G261)*'Retirement Planning'!$J$45)),IF(B261&lt;59.5,(MIN(U261,MAX(0,((Y261+AA261+AJ261)-G261-M261)*'Retirement Planning'!$J$45))),MIN(U261,MAX(0,(Y261+AA261+AJ261-G261-M261-K261-X261)*'Retirement Planning'!$J$45))))</f>
        <v>1198.6390244623458</v>
      </c>
      <c r="W261" s="7">
        <f t="shared" ca="1" si="88"/>
        <v>3033679.511452205</v>
      </c>
      <c r="X261" s="7">
        <f>(IF(B261&gt;'Retirement Planning'!$J$34,IF('Retirement Planning'!$J$34=70,'Retirement Planning'!$J$37/12,IF('Retirement Planning'!$J$34=67,'Retirement Planning'!$J$36/12,'Retirement Planning'!$J$35/12)),0))*'Retirement Planning'!$J$38</f>
        <v>1213.6000000000001</v>
      </c>
      <c r="Y261" s="7">
        <f ca="1">'Retirement Planning'!$F$35*((1+'Retirement Planning'!$J$24)^(YEAR('Projected Retirement Drawdown'!C261)-YEAR(TODAY())))</f>
        <v>10691.596606809333</v>
      </c>
      <c r="Z261" s="7">
        <f ca="1">G261+M261+O261+0.85*X261+V261*'Retirement Planning'!$J$46+T261</f>
        <v>11585.879767968023</v>
      </c>
      <c r="AA261" s="7">
        <f ca="1">IF(MONTH(C261)=1,(((MIN(MAX(0,((SUM(Z249:Z260)-'Retirement Planning'!$I$53-'Retirement Planning'!$I$54)-'Retirement Planning'!$J$51)*'Retirement Planning'!$I$52))))+(MIN(MAX(0,((SUM(Z249:Z260)-'Retirement Planning'!$I$53-'Retirement Planning'!$I$54)-'Retirement Planning'!$J$50)*'Retirement Planning'!$I$51),('Retirement Planning'!$J$51-'Retirement Planning'!$J$50)*'Retirement Planning'!$I$51))+(MIN(MAX(0,((SUM(Z249:Z260)-'Retirement Planning'!$I$53-'Retirement Planning'!$I$54)-'Retirement Planning'!$J$49)*'Retirement Planning'!$I$50),('Retirement Planning'!$J$50-'Retirement Planning'!$J$49)*'Retirement Planning'!$I$50)+MIN(MAX(0,((SUM(Z249:Z260)-'Retirement Planning'!$I$53-'Retirement Planning'!$I$54)-'Retirement Planning'!$J$48)*'Retirement Planning'!$I$49),('Retirement Planning'!$J$49-'Retirement Planning'!$J$48)*'Retirement Planning'!$I$49)+MIN(((SUM(Z249:Z260)-'Retirement Planning'!$I$53-'Retirement Planning'!$I$54))*'Retirement Planning'!$I$48,('Retirement Planning'!$J$48)*'Retirement Planning'!$I$48))+(IF((SUM(Z249:Z260)-'Retirement Planning'!$I$54-'Retirement Planning'!$I$61)&gt;'Retirement Planning'!$J$59,(SUM(Z249:Z260)-'Retirement Planning'!$I$54-'Retirement Planning'!$I$61-'Retirement Planning'!$J$59)*'Retirement Planning'!$I$60+'Retirement Planning'!$K$59,IF((SUM(Z249:Z260)-'Retirement Planning'!$I$54-'Retirement Planning'!$I$61)&gt;'Retirement Planning'!$J$58,(SUM(Z249:Z260)-'Retirement Planning'!$I$54-'Retirement Planning'!$I$61-'Retirement Planning'!$J$58)*'Retirement Planning'!$I$59+'Retirement Planning'!$K$58,IF((SUM(Z249:Z260)-'Retirement Planning'!$I$54-'Retirement Planning'!$I$61)&gt;'Retirement Planning'!$J$57,(SUM(Z249:Z260)-'Retirement Planning'!$I$54-'Retirement Planning'!$I$61-'Retirement Planning'!$J$57)*'Retirement Planning'!$I$58+'Retirement Planning'!$K$57,IF((SUM(Z249:Z260)-'Retirement Planning'!$I$54-'Retirement Planning'!$I$61)&gt;'Retirement Planning'!$J$56,(SUM(Z249:Z260)-'Retirement Planning'!$I$54-'Retirement Planning'!$I$61-'Retirement Planning'!$J$56)*'Retirement Planning'!$I$57+'Retirement Planning'!$K$56,(SUM(Z249:Z260)-'Retirement Planning'!$I$54-'Retirement Planning'!$I$61)*'Retirement Planning'!$I$56))))))/12,AA260)</f>
        <v>2706.1420407384862</v>
      </c>
      <c r="AB261" s="104">
        <f t="shared" ref="AB261" ca="1" si="109">SUM(AA261:AA272)/SUM(Z249:Z260)</f>
        <v>0.24243213011639636</v>
      </c>
      <c r="AC261" s="7">
        <f>IF(B261&lt;65,'Retirement Planning'!$J$28,0)</f>
        <v>0</v>
      </c>
      <c r="AD261" s="7">
        <f>IF(B261&lt;65,'Retirement Planning'!$J$29/12,0)</f>
        <v>0</v>
      </c>
      <c r="AE261" s="22">
        <f>'Retirement Planning'!$J$31/12</f>
        <v>58.333333333333336</v>
      </c>
      <c r="AF261" s="22">
        <f>'Retirement Planning'!$J$32/12</f>
        <v>66.666666666666671</v>
      </c>
      <c r="AG261" s="7">
        <f>IF($B261&gt;64.9,'Retirement Planning'!$J$39/12,0)</f>
        <v>183.33333333333334</v>
      </c>
      <c r="AH261" s="7">
        <f>IF($B261&gt;64.9,'Retirement Planning'!$J$40/12,0)</f>
        <v>258.33333333333331</v>
      </c>
      <c r="AI261" s="7">
        <f>IF($B261&gt;64.9,'Retirement Planning'!$J$41/12,0)</f>
        <v>558.33333333333337</v>
      </c>
      <c r="AJ261" s="7">
        <f t="shared" ca="1" si="89"/>
        <v>316.66666666666663</v>
      </c>
      <c r="AK261" s="3" t="str">
        <f t="shared" ca="1" si="90"/>
        <v>N/A</v>
      </c>
      <c r="AL261" s="6" t="str">
        <f t="shared" ca="1" si="91"/>
        <v>N/A</v>
      </c>
      <c r="AM261" s="7">
        <f t="shared" ca="1" si="92"/>
        <v>1.1368683772161603E-12</v>
      </c>
      <c r="AN261" s="7">
        <f t="shared" ca="1" si="93"/>
        <v>14522.73864754782</v>
      </c>
      <c r="AO261" s="7">
        <f t="shared" si="94"/>
        <v>1125</v>
      </c>
    </row>
    <row r="262" spans="1:41" x14ac:dyDescent="0.2">
      <c r="A262">
        <f t="shared" si="95"/>
        <v>50</v>
      </c>
      <c r="B262" s="5">
        <f t="shared" si="96"/>
        <v>77.3</v>
      </c>
      <c r="C262" s="56">
        <f t="shared" si="97"/>
        <v>54089</v>
      </c>
      <c r="D262" s="57">
        <f ca="1">IF(AND(B261&lt;59.5,OR(B262&gt;59.5,B262=59.5)),(D261-E261+J261-K261)*(1+'Retirement Planning'!$J$23/12),(D261-E261)*(1+'Retirement Planning'!$J$23/12))</f>
        <v>541255.62929392233</v>
      </c>
      <c r="E262" s="58">
        <f t="shared" ca="1" si="84"/>
        <v>1407.0979852384062</v>
      </c>
      <c r="F262" s="57">
        <f ca="1">IF(AND(OR(B262&gt;59.5,B262=59.5),B261&lt;59.5),(F261-G261+L261-M261+N261-O261)*(1+'Retirement Planning'!$J$23/12),(F261-G261)*(1+'Retirement Planning'!$J$23/12))</f>
        <v>1417755.2372065235</v>
      </c>
      <c r="G262" s="58">
        <f ca="1">IF(AND($B$10&lt;55,B262&lt;59.5),'Retirement Planning'!$J$25,IF(OR(B262&gt;59.5,B262=59.5),MAX(0,MIN(F262,IF(D262&lt;2500,((Y262+AJ262+AA262))-X262,((Y262+AJ262+AA262)*'Retirement Planning'!$J$44)-X262))),0))</f>
        <v>9895.0683045137339</v>
      </c>
      <c r="H262" s="255">
        <f ca="1">IF(MONTH(C262)=1,IF(B262&gt;69.5,F262/(INDEX('Retirement Planning'!D$1:D$264,(160+INT(B262))))/12,0),IF(F262=0,0,H261))</f>
        <v>9302.3524026218111</v>
      </c>
      <c r="I262" s="262">
        <f t="shared" ca="1" si="85"/>
        <v>0</v>
      </c>
      <c r="J262" s="254">
        <f ca="1">IF(AND(B261&lt;59.5,OR(B262=59.5,B262&gt;59.5)),0,(J261-K261)*(1+'Retirement Planning'!$J$23/12))</f>
        <v>0</v>
      </c>
      <c r="K262" s="58">
        <f t="shared" ca="1" si="86"/>
        <v>0</v>
      </c>
      <c r="L262" s="57">
        <f>IF(AND(OR(B262&gt;59.5,B262=59.5),B261&lt;59.5),0,(L261-M261)*(1+'Retirement Planning'!$J$23/12))</f>
        <v>0</v>
      </c>
      <c r="M262" s="59">
        <f>IF(AND($B$10&lt;55,B262&lt;59.5),0,IF(B262&lt;59.5,MAX(0,MIN((($Y262+$AJ262+AA262)*'Retirement Planning'!$J$44)-$G262-$X262,L262)),0))</f>
        <v>0</v>
      </c>
      <c r="N262" s="57">
        <f ca="1">(N261-O261)*(1+'Retirement Planning'!$J$23/12)</f>
        <v>0</v>
      </c>
      <c r="O262" s="59">
        <f ca="1">IF(B262&gt;59.5,MAX(0,MIN((AA262+$Y262+$AJ262)*(IF(D262&lt;(MIN(E250:E261)+1),1,'Retirement Planning'!$J$44))-M262-$G262-$X262-(IF(D262&lt;(MIN(E250:E261)+1),D262,0)),N262)),0)</f>
        <v>0</v>
      </c>
      <c r="P262" s="57">
        <f t="shared" si="98"/>
        <v>0</v>
      </c>
      <c r="Q262" s="58">
        <f t="shared" si="99"/>
        <v>0</v>
      </c>
      <c r="R262" s="57">
        <f ca="1">(R261-S261-T261)*(1+'Retirement Planning'!$J$23/12)</f>
        <v>636410.33164940681</v>
      </c>
      <c r="S262" s="58">
        <f t="shared" ca="1" si="100"/>
        <v>808.33333333333337</v>
      </c>
      <c r="T262" s="273">
        <f t="shared" ca="1" si="87"/>
        <v>2.2737367544323206E-13</v>
      </c>
      <c r="U262" s="57">
        <f ca="1">(U261-V261)*(1+'Retirement Planning'!$J$23/12)</f>
        <v>446343.46479550411</v>
      </c>
      <c r="V262" s="24">
        <f ca="1">IF(AND($B$10&lt;55,B262&lt;59.5),MIN(U262,MAX(0,(Y262+AA262+AJ262-G262)*'Retirement Planning'!$J$45)),IF(B262&lt;59.5,(MIN(U262,MAX(0,((Y262+AA262+AJ262)-G262-M262)*'Retirement Planning'!$J$45))),MIN(U262,MAX(0,(Y262+AA262+AJ262-G262-M262-K262-X262)*'Retirement Planning'!$J$45))))</f>
        <v>1198.6390244623458</v>
      </c>
      <c r="W262" s="7">
        <f t="shared" ca="1" si="88"/>
        <v>3041764.6629453567</v>
      </c>
      <c r="X262" s="7">
        <f>(IF(B262&gt;'Retirement Planning'!$J$34,IF('Retirement Planning'!$J$34=70,'Retirement Planning'!$J$37/12,IF('Retirement Planning'!$J$34=67,'Retirement Planning'!$J$36/12,'Retirement Planning'!$J$35/12)),0))*'Retirement Planning'!$J$38</f>
        <v>1213.6000000000001</v>
      </c>
      <c r="Y262" s="7">
        <f ca="1">'Retirement Planning'!$F$35*((1+'Retirement Planning'!$J$24)^(YEAR('Projected Retirement Drawdown'!C262)-YEAR(TODAY())))</f>
        <v>10691.596606809333</v>
      </c>
      <c r="Z262" s="7">
        <f ca="1">G262+M262+O262+0.85*X262+V262*'Retirement Planning'!$J$46+T262</f>
        <v>11585.879767968023</v>
      </c>
      <c r="AA262" s="7">
        <f ca="1">IF(MONTH(C262)=1,(((MIN(MAX(0,((SUM(Z250:Z261)-'Retirement Planning'!$I$53-'Retirement Planning'!$I$54)-'Retirement Planning'!$J$51)*'Retirement Planning'!$I$52))))+(MIN(MAX(0,((SUM(Z250:Z261)-'Retirement Planning'!$I$53-'Retirement Planning'!$I$54)-'Retirement Planning'!$J$50)*'Retirement Planning'!$I$51),('Retirement Planning'!$J$51-'Retirement Planning'!$J$50)*'Retirement Planning'!$I$51))+(MIN(MAX(0,((SUM(Z250:Z261)-'Retirement Planning'!$I$53-'Retirement Planning'!$I$54)-'Retirement Planning'!$J$49)*'Retirement Planning'!$I$50),('Retirement Planning'!$J$50-'Retirement Planning'!$J$49)*'Retirement Planning'!$I$50)+MIN(MAX(0,((SUM(Z250:Z261)-'Retirement Planning'!$I$53-'Retirement Planning'!$I$54)-'Retirement Planning'!$J$48)*'Retirement Planning'!$I$49),('Retirement Planning'!$J$49-'Retirement Planning'!$J$48)*'Retirement Planning'!$I$49)+MIN(((SUM(Z250:Z261)-'Retirement Planning'!$I$53-'Retirement Planning'!$I$54))*'Retirement Planning'!$I$48,('Retirement Planning'!$J$48)*'Retirement Planning'!$I$48))+(IF((SUM(Z250:Z261)-'Retirement Planning'!$I$54-'Retirement Planning'!$I$61)&gt;'Retirement Planning'!$J$59,(SUM(Z250:Z261)-'Retirement Planning'!$I$54-'Retirement Planning'!$I$61-'Retirement Planning'!$J$59)*'Retirement Planning'!$I$60+'Retirement Planning'!$K$59,IF((SUM(Z250:Z261)-'Retirement Planning'!$I$54-'Retirement Planning'!$I$61)&gt;'Retirement Planning'!$J$58,(SUM(Z250:Z261)-'Retirement Planning'!$I$54-'Retirement Planning'!$I$61-'Retirement Planning'!$J$58)*'Retirement Planning'!$I$59+'Retirement Planning'!$K$58,IF((SUM(Z250:Z261)-'Retirement Planning'!$I$54-'Retirement Planning'!$I$61)&gt;'Retirement Planning'!$J$57,(SUM(Z250:Z261)-'Retirement Planning'!$I$54-'Retirement Planning'!$I$61-'Retirement Planning'!$J$57)*'Retirement Planning'!$I$58+'Retirement Planning'!$K$57,IF((SUM(Z250:Z261)-'Retirement Planning'!$I$54-'Retirement Planning'!$I$61)&gt;'Retirement Planning'!$J$56,(SUM(Z250:Z261)-'Retirement Planning'!$I$54-'Retirement Planning'!$I$61-'Retirement Planning'!$J$56)*'Retirement Planning'!$I$57+'Retirement Planning'!$K$56,(SUM(Z250:Z261)-'Retirement Planning'!$I$54-'Retirement Planning'!$I$61)*'Retirement Planning'!$I$56))))))/12,AA261)</f>
        <v>2706.1420407384862</v>
      </c>
      <c r="AB262" s="104">
        <f t="shared" ref="AB262:AB325" ca="1" si="110">AB261</f>
        <v>0.24243213011639636</v>
      </c>
      <c r="AC262" s="7">
        <f>IF(B262&lt;65,'Retirement Planning'!$J$28,0)</f>
        <v>0</v>
      </c>
      <c r="AD262" s="7">
        <f>IF(B262&lt;65,'Retirement Planning'!$J$29/12,0)</f>
        <v>0</v>
      </c>
      <c r="AE262" s="22">
        <f>'Retirement Planning'!$J$31/12</f>
        <v>58.333333333333336</v>
      </c>
      <c r="AF262" s="22">
        <f>'Retirement Planning'!$J$32/12</f>
        <v>66.666666666666671</v>
      </c>
      <c r="AG262" s="7">
        <f>IF($B262&gt;64.9,'Retirement Planning'!$J$39/12,0)</f>
        <v>183.33333333333334</v>
      </c>
      <c r="AH262" s="7">
        <f>IF($B262&gt;64.9,'Retirement Planning'!$J$40/12,0)</f>
        <v>258.33333333333331</v>
      </c>
      <c r="AI262" s="7">
        <f>IF($B262&gt;64.9,'Retirement Planning'!$J$41/12,0)</f>
        <v>558.33333333333337</v>
      </c>
      <c r="AJ262" s="7">
        <f t="shared" ca="1" si="89"/>
        <v>316.66666666666663</v>
      </c>
      <c r="AK262" s="3" t="str">
        <f t="shared" ca="1" si="90"/>
        <v>N/A</v>
      </c>
      <c r="AL262" s="6" t="str">
        <f t="shared" ca="1" si="91"/>
        <v>N/A</v>
      </c>
      <c r="AM262" s="7">
        <f t="shared" ca="1" si="92"/>
        <v>1.1368683772161603E-12</v>
      </c>
      <c r="AN262" s="7">
        <f t="shared" ca="1" si="93"/>
        <v>14522.73864754782</v>
      </c>
      <c r="AO262" s="7">
        <f t="shared" si="94"/>
        <v>1125</v>
      </c>
    </row>
    <row r="263" spans="1:41" x14ac:dyDescent="0.2">
      <c r="A263">
        <f t="shared" si="95"/>
        <v>50</v>
      </c>
      <c r="B263" s="5">
        <f t="shared" si="96"/>
        <v>77.400000000000006</v>
      </c>
      <c r="C263" s="56">
        <f t="shared" si="97"/>
        <v>54118</v>
      </c>
      <c r="D263" s="57">
        <f ca="1">IF(AND(B262&lt;59.5,OR(B263&gt;59.5,B263=59.5)),(D262-E262+J262-K262)*(1+'Retirement Planning'!$J$23/12),(D262-E262)*(1+'Retirement Planning'!$J$23/12))</f>
        <v>543672.45840545371</v>
      </c>
      <c r="E263" s="58">
        <f t="shared" ca="1" si="84"/>
        <v>1407.0979852384062</v>
      </c>
      <c r="F263" s="57">
        <f ca="1">IF(AND(OR(B263&gt;59.5,B263=59.5),B262&lt;59.5),(F262-G262+L262-M262+N262-O262)*(1+'Retirement Planning'!$J$23/12),(F262-G262)*(1+'Retirement Planning'!$J$23/12))</f>
        <v>1417832.5117650656</v>
      </c>
      <c r="G263" s="58">
        <f ca="1">IF(AND($B$10&lt;55,B263&lt;59.5),'Retirement Planning'!$J$25,IF(OR(B263&gt;59.5,B263=59.5),MAX(0,MIN(F263,IF(D263&lt;2500,((Y263+AJ263+AA263))-X263,((Y263+AJ263+AA263)*'Retirement Planning'!$J$44)-X263))),0))</f>
        <v>9895.0683045137339</v>
      </c>
      <c r="H263" s="255">
        <f ca="1">IF(MONTH(C263)=1,IF(B263&gt;69.5,F263/(INDEX('Retirement Planning'!D$1:D$264,(160+INT(B263))))/12,0),IF(F263=0,0,H262))</f>
        <v>9302.3524026218111</v>
      </c>
      <c r="I263" s="262">
        <f t="shared" ca="1" si="85"/>
        <v>0</v>
      </c>
      <c r="J263" s="254">
        <f ca="1">IF(AND(B262&lt;59.5,OR(B263=59.5,B263&gt;59.5)),0,(J262-K262)*(1+'Retirement Planning'!$J$23/12))</f>
        <v>0</v>
      </c>
      <c r="K263" s="58">
        <f t="shared" ca="1" si="86"/>
        <v>0</v>
      </c>
      <c r="L263" s="57">
        <f>IF(AND(OR(B263&gt;59.5,B263=59.5),B262&lt;59.5),0,(L262-M262)*(1+'Retirement Planning'!$J$23/12))</f>
        <v>0</v>
      </c>
      <c r="M263" s="59">
        <f>IF(AND($B$10&lt;55,B263&lt;59.5),0,IF(B263&lt;59.5,MAX(0,MIN((($Y263+$AJ263+AA263)*'Retirement Planning'!$J$44)-$G263-$X263,L263)),0))</f>
        <v>0</v>
      </c>
      <c r="N263" s="57">
        <f ca="1">(N262-O262)*(1+'Retirement Planning'!$J$23/12)</f>
        <v>0</v>
      </c>
      <c r="O263" s="59">
        <f ca="1">IF(B263&gt;59.5,MAX(0,MIN((AA263+$Y263+$AJ263)*(IF(D263&lt;(MIN(E251:E262)+1),1,'Retirement Planning'!$J$44))-M263-$G263-$X263-(IF(D263&lt;(MIN(E251:E262)+1),D263,0)),N263)),0)</f>
        <v>0</v>
      </c>
      <c r="P263" s="57">
        <f t="shared" si="98"/>
        <v>0</v>
      </c>
      <c r="Q263" s="58">
        <f t="shared" si="99"/>
        <v>0</v>
      </c>
      <c r="R263" s="57">
        <f ca="1">(R262-S262-T262)*(1+'Retirement Planning'!$J$23/12)</f>
        <v>640104.17913747893</v>
      </c>
      <c r="S263" s="58">
        <f t="shared" ca="1" si="100"/>
        <v>808.33333333333337</v>
      </c>
      <c r="T263" s="273">
        <f t="shared" ca="1" si="87"/>
        <v>2.2737367544323206E-13</v>
      </c>
      <c r="U263" s="57">
        <f ca="1">(U262-V262)*(1+'Retirement Planning'!$J$23/12)</f>
        <v>448297.93495358666</v>
      </c>
      <c r="V263" s="24">
        <f ca="1">IF(AND($B$10&lt;55,B263&lt;59.5),MIN(U263,MAX(0,(Y263+AA263+AJ263-G263)*'Retirement Planning'!$J$45)),IF(B263&lt;59.5,(MIN(U263,MAX(0,((Y263+AA263+AJ263)-G263-M263)*'Retirement Planning'!$J$45))),MIN(U263,MAX(0,(Y263+AA263+AJ263-G263-M263-K263-X263)*'Retirement Planning'!$J$45))))</f>
        <v>1198.6390244623458</v>
      </c>
      <c r="W263" s="7">
        <f t="shared" ca="1" si="88"/>
        <v>3049907.084261585</v>
      </c>
      <c r="X263" s="7">
        <f>(IF(B263&gt;'Retirement Planning'!$J$34,IF('Retirement Planning'!$J$34=70,'Retirement Planning'!$J$37/12,IF('Retirement Planning'!$J$34=67,'Retirement Planning'!$J$36/12,'Retirement Planning'!$J$35/12)),0))*'Retirement Planning'!$J$38</f>
        <v>1213.6000000000001</v>
      </c>
      <c r="Y263" s="7">
        <f ca="1">'Retirement Planning'!$F$35*((1+'Retirement Planning'!$J$24)^(YEAR('Projected Retirement Drawdown'!C263)-YEAR(TODAY())))</f>
        <v>10691.596606809333</v>
      </c>
      <c r="Z263" s="7">
        <f ca="1">G263+M263+O263+0.85*X263+V263*'Retirement Planning'!$J$46+T263</f>
        <v>11585.879767968023</v>
      </c>
      <c r="AA263" s="7">
        <f ca="1">IF(MONTH(C263)=1,(((MIN(MAX(0,((SUM(Z251:Z262)-'Retirement Planning'!$I$53-'Retirement Planning'!$I$54)-'Retirement Planning'!$J$51)*'Retirement Planning'!$I$52))))+(MIN(MAX(0,((SUM(Z251:Z262)-'Retirement Planning'!$I$53-'Retirement Planning'!$I$54)-'Retirement Planning'!$J$50)*'Retirement Planning'!$I$51),('Retirement Planning'!$J$51-'Retirement Planning'!$J$50)*'Retirement Planning'!$I$51))+(MIN(MAX(0,((SUM(Z251:Z262)-'Retirement Planning'!$I$53-'Retirement Planning'!$I$54)-'Retirement Planning'!$J$49)*'Retirement Planning'!$I$50),('Retirement Planning'!$J$50-'Retirement Planning'!$J$49)*'Retirement Planning'!$I$50)+MIN(MAX(0,((SUM(Z251:Z262)-'Retirement Planning'!$I$53-'Retirement Planning'!$I$54)-'Retirement Planning'!$J$48)*'Retirement Planning'!$I$49),('Retirement Planning'!$J$49-'Retirement Planning'!$J$48)*'Retirement Planning'!$I$49)+MIN(((SUM(Z251:Z262)-'Retirement Planning'!$I$53-'Retirement Planning'!$I$54))*'Retirement Planning'!$I$48,('Retirement Planning'!$J$48)*'Retirement Planning'!$I$48))+(IF((SUM(Z251:Z262)-'Retirement Planning'!$I$54-'Retirement Planning'!$I$61)&gt;'Retirement Planning'!$J$59,(SUM(Z251:Z262)-'Retirement Planning'!$I$54-'Retirement Planning'!$I$61-'Retirement Planning'!$J$59)*'Retirement Planning'!$I$60+'Retirement Planning'!$K$59,IF((SUM(Z251:Z262)-'Retirement Planning'!$I$54-'Retirement Planning'!$I$61)&gt;'Retirement Planning'!$J$58,(SUM(Z251:Z262)-'Retirement Planning'!$I$54-'Retirement Planning'!$I$61-'Retirement Planning'!$J$58)*'Retirement Planning'!$I$59+'Retirement Planning'!$K$58,IF((SUM(Z251:Z262)-'Retirement Planning'!$I$54-'Retirement Planning'!$I$61)&gt;'Retirement Planning'!$J$57,(SUM(Z251:Z262)-'Retirement Planning'!$I$54-'Retirement Planning'!$I$61-'Retirement Planning'!$J$57)*'Retirement Planning'!$I$58+'Retirement Planning'!$K$57,IF((SUM(Z251:Z262)-'Retirement Planning'!$I$54-'Retirement Planning'!$I$61)&gt;'Retirement Planning'!$J$56,(SUM(Z251:Z262)-'Retirement Planning'!$I$54-'Retirement Planning'!$I$61-'Retirement Planning'!$J$56)*'Retirement Planning'!$I$57+'Retirement Planning'!$K$56,(SUM(Z251:Z262)-'Retirement Planning'!$I$54-'Retirement Planning'!$I$61)*'Retirement Planning'!$I$56))))))/12,AA262)</f>
        <v>2706.1420407384862</v>
      </c>
      <c r="AB263" s="104">
        <f t="shared" ca="1" si="106"/>
        <v>0.24243213011639636</v>
      </c>
      <c r="AC263" s="7">
        <f>IF(B263&lt;65,'Retirement Planning'!$J$28,0)</f>
        <v>0</v>
      </c>
      <c r="AD263" s="7">
        <f>IF(B263&lt;65,'Retirement Planning'!$J$29/12,0)</f>
        <v>0</v>
      </c>
      <c r="AE263" s="22">
        <f>'Retirement Planning'!$J$31/12</f>
        <v>58.333333333333336</v>
      </c>
      <c r="AF263" s="22">
        <f>'Retirement Planning'!$J$32/12</f>
        <v>66.666666666666671</v>
      </c>
      <c r="AG263" s="7">
        <f>IF($B263&gt;64.9,'Retirement Planning'!$J$39/12,0)</f>
        <v>183.33333333333334</v>
      </c>
      <c r="AH263" s="7">
        <f>IF($B263&gt;64.9,'Retirement Planning'!$J$40/12,0)</f>
        <v>258.33333333333331</v>
      </c>
      <c r="AI263" s="7">
        <f>IF($B263&gt;64.9,'Retirement Planning'!$J$41/12,0)</f>
        <v>558.33333333333337</v>
      </c>
      <c r="AJ263" s="7">
        <f t="shared" ca="1" si="89"/>
        <v>316.66666666666663</v>
      </c>
      <c r="AK263" s="3" t="str">
        <f t="shared" ca="1" si="90"/>
        <v>N/A</v>
      </c>
      <c r="AL263" s="6" t="str">
        <f t="shared" ca="1" si="91"/>
        <v>N/A</v>
      </c>
      <c r="AM263" s="7">
        <f t="shared" ca="1" si="92"/>
        <v>1.1368683772161603E-12</v>
      </c>
      <c r="AN263" s="7">
        <f t="shared" ca="1" si="93"/>
        <v>14522.73864754782</v>
      </c>
      <c r="AO263" s="7">
        <f t="shared" si="94"/>
        <v>1125</v>
      </c>
    </row>
    <row r="264" spans="1:41" x14ac:dyDescent="0.2">
      <c r="A264">
        <f t="shared" si="95"/>
        <v>50</v>
      </c>
      <c r="B264" s="5">
        <f t="shared" si="96"/>
        <v>77.5</v>
      </c>
      <c r="C264" s="56">
        <f t="shared" si="97"/>
        <v>54149</v>
      </c>
      <c r="D264" s="57">
        <f ca="1">IF(AND(B263&lt;59.5,OR(B264&gt;59.5,B264=59.5)),(D263-E263+J263-K263)*(1+'Retirement Planning'!$J$23/12),(D263-E263)*(1+'Retirement Planning'!$J$23/12))</f>
        <v>546106.40672319185</v>
      </c>
      <c r="E264" s="58">
        <f t="shared" ca="1" si="84"/>
        <v>1407.0979852384062</v>
      </c>
      <c r="F264" s="57">
        <f ca="1">IF(AND(OR(B264&gt;59.5,B264=59.5),B263&lt;59.5),(F263-G263+L263-M263+N263-O263)*(1+'Retirement Planning'!$J$23/12),(F263-G263)*(1+'Retirement Planning'!$J$23/12))</f>
        <v>1417910.333685064</v>
      </c>
      <c r="G264" s="58">
        <f ca="1">IF(AND($B$10&lt;55,B264&lt;59.5),'Retirement Planning'!$J$25,IF(OR(B264&gt;59.5,B264=59.5),MAX(0,MIN(F264,IF(D264&lt;2500,((Y264+AJ264+AA264))-X264,((Y264+AJ264+AA264)*'Retirement Planning'!$J$44)-X264))),0))</f>
        <v>9895.0683045137339</v>
      </c>
      <c r="H264" s="255">
        <f ca="1">IF(MONTH(C264)=1,IF(B264&gt;69.5,F264/(INDEX('Retirement Planning'!D$1:D$264,(160+INT(B264))))/12,0),IF(F264=0,0,H263))</f>
        <v>9302.3524026218111</v>
      </c>
      <c r="I264" s="262">
        <f t="shared" ca="1" si="85"/>
        <v>0</v>
      </c>
      <c r="J264" s="254">
        <f ca="1">IF(AND(B263&lt;59.5,OR(B264=59.5,B264&gt;59.5)),0,(J263-K263)*(1+'Retirement Planning'!$J$23/12))</f>
        <v>0</v>
      </c>
      <c r="K264" s="58">
        <f t="shared" ca="1" si="86"/>
        <v>0</v>
      </c>
      <c r="L264" s="57">
        <f>IF(AND(OR(B264&gt;59.5,B264=59.5),B263&lt;59.5),0,(L263-M263)*(1+'Retirement Planning'!$J$23/12))</f>
        <v>0</v>
      </c>
      <c r="M264" s="59">
        <f>IF(AND($B$10&lt;55,B264&lt;59.5),0,IF(B264&lt;59.5,MAX(0,MIN((($Y264+$AJ264+AA264)*'Retirement Planning'!$J$44)-$G264-$X264,L264)),0))</f>
        <v>0</v>
      </c>
      <c r="N264" s="57">
        <f ca="1">(N263-O263)*(1+'Retirement Planning'!$J$23/12)</f>
        <v>0</v>
      </c>
      <c r="O264" s="59">
        <f ca="1">IF(B264&gt;59.5,MAX(0,MIN((AA264+$Y264+$AJ264)*(IF(D264&lt;(MIN(E252:E263)+1),1,'Retirement Planning'!$J$44))-M264-$G264-$X264-(IF(D264&lt;(MIN(E252:E263)+1),D264,0)),N264)),0)</f>
        <v>0</v>
      </c>
      <c r="P264" s="57">
        <f t="shared" si="98"/>
        <v>0</v>
      </c>
      <c r="Q264" s="58">
        <f t="shared" si="99"/>
        <v>0</v>
      </c>
      <c r="R264" s="57">
        <f ca="1">(R263-S263-T263)*(1+'Retirement Planning'!$J$23/12)</f>
        <v>643824.19137859158</v>
      </c>
      <c r="S264" s="58">
        <f t="shared" ca="1" si="100"/>
        <v>808.33333333333337</v>
      </c>
      <c r="T264" s="273">
        <f t="shared" ca="1" si="87"/>
        <v>2.2737367544323206E-13</v>
      </c>
      <c r="U264" s="57">
        <f ca="1">(U263-V263)*(1+'Retirement Planning'!$J$23/12)</f>
        <v>450266.24927528895</v>
      </c>
      <c r="V264" s="24">
        <f ca="1">IF(AND($B$10&lt;55,B264&lt;59.5),MIN(U264,MAX(0,(Y264+AA264+AJ264-G264)*'Retirement Planning'!$J$45)),IF(B264&lt;59.5,(MIN(U264,MAX(0,((Y264+AA264+AJ264)-G264-M264)*'Retirement Planning'!$J$45))),MIN(U264,MAX(0,(Y264+AA264+AJ264-G264-M264-K264-X264)*'Retirement Planning'!$J$45))))</f>
        <v>1198.6390244623458</v>
      </c>
      <c r="W264" s="7">
        <f t="shared" ca="1" si="88"/>
        <v>3058107.1810621363</v>
      </c>
      <c r="X264" s="7">
        <f>(IF(B264&gt;'Retirement Planning'!$J$34,IF('Retirement Planning'!$J$34=70,'Retirement Planning'!$J$37/12,IF('Retirement Planning'!$J$34=67,'Retirement Planning'!$J$36/12,'Retirement Planning'!$J$35/12)),0))*'Retirement Planning'!$J$38</f>
        <v>1213.6000000000001</v>
      </c>
      <c r="Y264" s="7">
        <f ca="1">'Retirement Planning'!$F$35*((1+'Retirement Planning'!$J$24)^(YEAR('Projected Retirement Drawdown'!C264)-YEAR(TODAY())))</f>
        <v>10691.596606809333</v>
      </c>
      <c r="Z264" s="7">
        <f ca="1">G264+M264+O264+0.85*X264+V264*'Retirement Planning'!$J$46+T264</f>
        <v>11585.879767968023</v>
      </c>
      <c r="AA264" s="7">
        <f ca="1">IF(MONTH(C264)=1,(((MIN(MAX(0,((SUM(Z252:Z263)-'Retirement Planning'!$I$53-'Retirement Planning'!$I$54)-'Retirement Planning'!$J$51)*'Retirement Planning'!$I$52))))+(MIN(MAX(0,((SUM(Z252:Z263)-'Retirement Planning'!$I$53-'Retirement Planning'!$I$54)-'Retirement Planning'!$J$50)*'Retirement Planning'!$I$51),('Retirement Planning'!$J$51-'Retirement Planning'!$J$50)*'Retirement Planning'!$I$51))+(MIN(MAX(0,((SUM(Z252:Z263)-'Retirement Planning'!$I$53-'Retirement Planning'!$I$54)-'Retirement Planning'!$J$49)*'Retirement Planning'!$I$50),('Retirement Planning'!$J$50-'Retirement Planning'!$J$49)*'Retirement Planning'!$I$50)+MIN(MAX(0,((SUM(Z252:Z263)-'Retirement Planning'!$I$53-'Retirement Planning'!$I$54)-'Retirement Planning'!$J$48)*'Retirement Planning'!$I$49),('Retirement Planning'!$J$49-'Retirement Planning'!$J$48)*'Retirement Planning'!$I$49)+MIN(((SUM(Z252:Z263)-'Retirement Planning'!$I$53-'Retirement Planning'!$I$54))*'Retirement Planning'!$I$48,('Retirement Planning'!$J$48)*'Retirement Planning'!$I$48))+(IF((SUM(Z252:Z263)-'Retirement Planning'!$I$54-'Retirement Planning'!$I$61)&gt;'Retirement Planning'!$J$59,(SUM(Z252:Z263)-'Retirement Planning'!$I$54-'Retirement Planning'!$I$61-'Retirement Planning'!$J$59)*'Retirement Planning'!$I$60+'Retirement Planning'!$K$59,IF((SUM(Z252:Z263)-'Retirement Planning'!$I$54-'Retirement Planning'!$I$61)&gt;'Retirement Planning'!$J$58,(SUM(Z252:Z263)-'Retirement Planning'!$I$54-'Retirement Planning'!$I$61-'Retirement Planning'!$J$58)*'Retirement Planning'!$I$59+'Retirement Planning'!$K$58,IF((SUM(Z252:Z263)-'Retirement Planning'!$I$54-'Retirement Planning'!$I$61)&gt;'Retirement Planning'!$J$57,(SUM(Z252:Z263)-'Retirement Planning'!$I$54-'Retirement Planning'!$I$61-'Retirement Planning'!$J$57)*'Retirement Planning'!$I$58+'Retirement Planning'!$K$57,IF((SUM(Z252:Z263)-'Retirement Planning'!$I$54-'Retirement Planning'!$I$61)&gt;'Retirement Planning'!$J$56,(SUM(Z252:Z263)-'Retirement Planning'!$I$54-'Retirement Planning'!$I$61-'Retirement Planning'!$J$56)*'Retirement Planning'!$I$57+'Retirement Planning'!$K$56,(SUM(Z252:Z263)-'Retirement Planning'!$I$54-'Retirement Planning'!$I$61)*'Retirement Planning'!$I$56))))))/12,AA263)</f>
        <v>2706.1420407384862</v>
      </c>
      <c r="AB264" s="104">
        <f t="shared" ca="1" si="106"/>
        <v>0.24243213011639636</v>
      </c>
      <c r="AC264" s="7">
        <f>IF(B264&lt;65,'Retirement Planning'!$J$28,0)</f>
        <v>0</v>
      </c>
      <c r="AD264" s="7">
        <f>IF(B264&lt;65,'Retirement Planning'!$J$29/12,0)</f>
        <v>0</v>
      </c>
      <c r="AE264" s="22">
        <f>'Retirement Planning'!$J$31/12</f>
        <v>58.333333333333336</v>
      </c>
      <c r="AF264" s="22">
        <f>'Retirement Planning'!$J$32/12</f>
        <v>66.666666666666671</v>
      </c>
      <c r="AG264" s="7">
        <f>IF($B264&gt;64.9,'Retirement Planning'!$J$39/12,0)</f>
        <v>183.33333333333334</v>
      </c>
      <c r="AH264" s="7">
        <f>IF($B264&gt;64.9,'Retirement Planning'!$J$40/12,0)</f>
        <v>258.33333333333331</v>
      </c>
      <c r="AI264" s="7">
        <f>IF($B264&gt;64.9,'Retirement Planning'!$J$41/12,0)</f>
        <v>558.33333333333337</v>
      </c>
      <c r="AJ264" s="7">
        <f t="shared" ca="1" si="89"/>
        <v>316.66666666666663</v>
      </c>
      <c r="AK264" s="3" t="str">
        <f t="shared" ca="1" si="90"/>
        <v>N/A</v>
      </c>
      <c r="AL264" s="6" t="str">
        <f t="shared" ca="1" si="91"/>
        <v>N/A</v>
      </c>
      <c r="AM264" s="7">
        <f t="shared" ca="1" si="92"/>
        <v>1.1368683772161603E-12</v>
      </c>
      <c r="AN264" s="7">
        <f t="shared" ca="1" si="93"/>
        <v>14522.73864754782</v>
      </c>
      <c r="AO264" s="7">
        <f t="shared" si="94"/>
        <v>1125</v>
      </c>
    </row>
    <row r="265" spans="1:41" x14ac:dyDescent="0.2">
      <c r="A265">
        <f t="shared" si="95"/>
        <v>50</v>
      </c>
      <c r="B265" s="5">
        <f t="shared" si="96"/>
        <v>77.5</v>
      </c>
      <c r="C265" s="56">
        <f t="shared" si="97"/>
        <v>54179</v>
      </c>
      <c r="D265" s="57">
        <f ca="1">IF(AND(B264&lt;59.5,OR(B265&gt;59.5,B265=59.5)),(D264-E264+J264-K264)*(1+'Retirement Planning'!$J$23/12),(D264-E264)*(1+'Retirement Planning'!$J$23/12))</f>
        <v>548557.59550818056</v>
      </c>
      <c r="E265" s="58">
        <f t="shared" ca="1" si="84"/>
        <v>1407.0979852384062</v>
      </c>
      <c r="F265" s="57">
        <f ca="1">IF(AND(OR(B265&gt;59.5,B265=59.5),B264&lt;59.5),(F264-G264+L264-M264+N264-O264)*(1+'Retirement Planning'!$J$23/12),(F264-G264)*(1+'Retirement Planning'!$J$23/12))</f>
        <v>1417988.7068436623</v>
      </c>
      <c r="G265" s="58">
        <f ca="1">IF(AND($B$10&lt;55,B265&lt;59.5),'Retirement Planning'!$J$25,IF(OR(B265&gt;59.5,B265=59.5),MAX(0,MIN(F265,IF(D265&lt;2500,((Y265+AJ265+AA265))-X265,((Y265+AJ265+AA265)*'Retirement Planning'!$J$44)-X265))),0))</f>
        <v>9895.0683045137339</v>
      </c>
      <c r="H265" s="255">
        <f ca="1">IF(MONTH(C265)=1,IF(B265&gt;69.5,F265/(INDEX('Retirement Planning'!D$1:D$264,(160+INT(B265))))/12,0),IF(F265=0,0,H264))</f>
        <v>9302.3524026218111</v>
      </c>
      <c r="I265" s="262">
        <f t="shared" ca="1" si="85"/>
        <v>0</v>
      </c>
      <c r="J265" s="254">
        <f ca="1">IF(AND(B264&lt;59.5,OR(B265=59.5,B265&gt;59.5)),0,(J264-K264)*(1+'Retirement Planning'!$J$23/12))</f>
        <v>0</v>
      </c>
      <c r="K265" s="58">
        <f t="shared" ca="1" si="86"/>
        <v>0</v>
      </c>
      <c r="L265" s="57">
        <f>IF(AND(OR(B265&gt;59.5,B265=59.5),B264&lt;59.5),0,(L264-M264)*(1+'Retirement Planning'!$J$23/12))</f>
        <v>0</v>
      </c>
      <c r="M265" s="59">
        <f>IF(AND($B$10&lt;55,B265&lt;59.5),0,IF(B265&lt;59.5,MAX(0,MIN((($Y265+$AJ265+AA265)*'Retirement Planning'!$J$44)-$G265-$X265,L265)),0))</f>
        <v>0</v>
      </c>
      <c r="N265" s="57">
        <f ca="1">(N264-O264)*(1+'Retirement Planning'!$J$23/12)</f>
        <v>0</v>
      </c>
      <c r="O265" s="59">
        <f ca="1">IF(B265&gt;59.5,MAX(0,MIN((AA265+$Y265+$AJ265)*(IF(D265&lt;(MIN(E253:E264)+1),1,'Retirement Planning'!$J$44))-M265-$G265-$X265-(IF(D265&lt;(MIN(E253:E264)+1),D265,0)),N265)),0)</f>
        <v>0</v>
      </c>
      <c r="P265" s="57">
        <f t="shared" si="98"/>
        <v>0</v>
      </c>
      <c r="Q265" s="58">
        <f t="shared" si="99"/>
        <v>0</v>
      </c>
      <c r="R265" s="57">
        <f ca="1">(R264-S264-T264)*(1+'Retirement Planning'!$J$23/12)</f>
        <v>647570.55370641209</v>
      </c>
      <c r="S265" s="58">
        <f t="shared" ca="1" si="100"/>
        <v>808.33333333333337</v>
      </c>
      <c r="T265" s="273">
        <f t="shared" ca="1" si="87"/>
        <v>2.2737367544323206E-13</v>
      </c>
      <c r="U265" s="57">
        <f ca="1">(U264-V264)*(1+'Retirement Planning'!$J$23/12)</f>
        <v>452248.50582343666</v>
      </c>
      <c r="V265" s="24">
        <f ca="1">IF(AND($B$10&lt;55,B265&lt;59.5),MIN(U265,MAX(0,(Y265+AA265+AJ265-G265)*'Retirement Planning'!$J$45)),IF(B265&lt;59.5,(MIN(U265,MAX(0,((Y265+AA265+AJ265)-G265-M265)*'Retirement Planning'!$J$45))),MIN(U265,MAX(0,(Y265+AA265+AJ265-G265-M265-K265-X265)*'Retirement Planning'!$J$45))))</f>
        <v>1198.6390244623458</v>
      </c>
      <c r="W265" s="7">
        <f t="shared" ca="1" si="88"/>
        <v>3066365.3618816915</v>
      </c>
      <c r="X265" s="7">
        <f>(IF(B265&gt;'Retirement Planning'!$J$34,IF('Retirement Planning'!$J$34=70,'Retirement Planning'!$J$37/12,IF('Retirement Planning'!$J$34=67,'Retirement Planning'!$J$36/12,'Retirement Planning'!$J$35/12)),0))*'Retirement Planning'!$J$38</f>
        <v>1213.6000000000001</v>
      </c>
      <c r="Y265" s="7">
        <f ca="1">'Retirement Planning'!$F$35*((1+'Retirement Planning'!$J$24)^(YEAR('Projected Retirement Drawdown'!C265)-YEAR(TODAY())))</f>
        <v>10691.596606809333</v>
      </c>
      <c r="Z265" s="7">
        <f ca="1">G265+M265+O265+0.85*X265+V265*'Retirement Planning'!$J$46+T265</f>
        <v>11585.879767968023</v>
      </c>
      <c r="AA265" s="7">
        <f ca="1">IF(MONTH(C265)=1,(((MIN(MAX(0,((SUM(Z253:Z264)-'Retirement Planning'!$I$53-'Retirement Planning'!$I$54)-'Retirement Planning'!$J$51)*'Retirement Planning'!$I$52))))+(MIN(MAX(0,((SUM(Z253:Z264)-'Retirement Planning'!$I$53-'Retirement Planning'!$I$54)-'Retirement Planning'!$J$50)*'Retirement Planning'!$I$51),('Retirement Planning'!$J$51-'Retirement Planning'!$J$50)*'Retirement Planning'!$I$51))+(MIN(MAX(0,((SUM(Z253:Z264)-'Retirement Planning'!$I$53-'Retirement Planning'!$I$54)-'Retirement Planning'!$J$49)*'Retirement Planning'!$I$50),('Retirement Planning'!$J$50-'Retirement Planning'!$J$49)*'Retirement Planning'!$I$50)+MIN(MAX(0,((SUM(Z253:Z264)-'Retirement Planning'!$I$53-'Retirement Planning'!$I$54)-'Retirement Planning'!$J$48)*'Retirement Planning'!$I$49),('Retirement Planning'!$J$49-'Retirement Planning'!$J$48)*'Retirement Planning'!$I$49)+MIN(((SUM(Z253:Z264)-'Retirement Planning'!$I$53-'Retirement Planning'!$I$54))*'Retirement Planning'!$I$48,('Retirement Planning'!$J$48)*'Retirement Planning'!$I$48))+(IF((SUM(Z253:Z264)-'Retirement Planning'!$I$54-'Retirement Planning'!$I$61)&gt;'Retirement Planning'!$J$59,(SUM(Z253:Z264)-'Retirement Planning'!$I$54-'Retirement Planning'!$I$61-'Retirement Planning'!$J$59)*'Retirement Planning'!$I$60+'Retirement Planning'!$K$59,IF((SUM(Z253:Z264)-'Retirement Planning'!$I$54-'Retirement Planning'!$I$61)&gt;'Retirement Planning'!$J$58,(SUM(Z253:Z264)-'Retirement Planning'!$I$54-'Retirement Planning'!$I$61-'Retirement Planning'!$J$58)*'Retirement Planning'!$I$59+'Retirement Planning'!$K$58,IF((SUM(Z253:Z264)-'Retirement Planning'!$I$54-'Retirement Planning'!$I$61)&gt;'Retirement Planning'!$J$57,(SUM(Z253:Z264)-'Retirement Planning'!$I$54-'Retirement Planning'!$I$61-'Retirement Planning'!$J$57)*'Retirement Planning'!$I$58+'Retirement Planning'!$K$57,IF((SUM(Z253:Z264)-'Retirement Planning'!$I$54-'Retirement Planning'!$I$61)&gt;'Retirement Planning'!$J$56,(SUM(Z253:Z264)-'Retirement Planning'!$I$54-'Retirement Planning'!$I$61-'Retirement Planning'!$J$56)*'Retirement Planning'!$I$57+'Retirement Planning'!$K$56,(SUM(Z253:Z264)-'Retirement Planning'!$I$54-'Retirement Planning'!$I$61)*'Retirement Planning'!$I$56))))))/12,AA264)</f>
        <v>2706.1420407384862</v>
      </c>
      <c r="AB265" s="104">
        <f t="shared" ca="1" si="106"/>
        <v>0.24243213011639636</v>
      </c>
      <c r="AC265" s="7">
        <f>IF(B265&lt;65,'Retirement Planning'!$J$28,0)</f>
        <v>0</v>
      </c>
      <c r="AD265" s="7">
        <f>IF(B265&lt;65,'Retirement Planning'!$J$29/12,0)</f>
        <v>0</v>
      </c>
      <c r="AE265" s="22">
        <f>'Retirement Planning'!$J$31/12</f>
        <v>58.333333333333336</v>
      </c>
      <c r="AF265" s="22">
        <f>'Retirement Planning'!$J$32/12</f>
        <v>66.666666666666671</v>
      </c>
      <c r="AG265" s="7">
        <f>IF($B265&gt;64.9,'Retirement Planning'!$J$39/12,0)</f>
        <v>183.33333333333334</v>
      </c>
      <c r="AH265" s="7">
        <f>IF($B265&gt;64.9,'Retirement Planning'!$J$40/12,0)</f>
        <v>258.33333333333331</v>
      </c>
      <c r="AI265" s="7">
        <f>IF($B265&gt;64.9,'Retirement Planning'!$J$41/12,0)</f>
        <v>558.33333333333337</v>
      </c>
      <c r="AJ265" s="7">
        <f t="shared" ca="1" si="89"/>
        <v>316.66666666666663</v>
      </c>
      <c r="AK265" s="3" t="str">
        <f t="shared" ca="1" si="90"/>
        <v>N/A</v>
      </c>
      <c r="AL265" s="6" t="str">
        <f t="shared" ca="1" si="91"/>
        <v>N/A</v>
      </c>
      <c r="AM265" s="7">
        <f t="shared" ca="1" si="92"/>
        <v>1.1368683772161603E-12</v>
      </c>
      <c r="AN265" s="7">
        <f t="shared" ca="1" si="93"/>
        <v>14522.73864754782</v>
      </c>
      <c r="AO265" s="7">
        <f t="shared" si="94"/>
        <v>1125</v>
      </c>
    </row>
    <row r="266" spans="1:41" x14ac:dyDescent="0.2">
      <c r="A266">
        <f t="shared" si="95"/>
        <v>50</v>
      </c>
      <c r="B266" s="5">
        <f t="shared" si="96"/>
        <v>77.599999999999994</v>
      </c>
      <c r="C266" s="56">
        <f t="shared" si="97"/>
        <v>54210</v>
      </c>
      <c r="D266" s="57">
        <f ca="1">IF(AND(B265&lt;59.5,OR(B266&gt;59.5,B266=59.5)),(D265-E265+J265-K265)*(1+'Retirement Planning'!$J$23/12),(D265-E265)*(1+'Retirement Planning'!$J$23/12))</f>
        <v>551026.14688039629</v>
      </c>
      <c r="E266" s="58">
        <f t="shared" ca="1" si="84"/>
        <v>1407.0979852384062</v>
      </c>
      <c r="F266" s="57">
        <f ca="1">IF(AND(OR(B266&gt;59.5,B266=59.5),B265&lt;59.5),(F265-G265+L265-M265+N265-O265)*(1+'Retirement Planning'!$J$23/12),(F265-G265)*(1+'Retirement Planning'!$J$23/12))</f>
        <v>1418067.6351454675</v>
      </c>
      <c r="G266" s="58">
        <f ca="1">IF(AND($B$10&lt;55,B266&lt;59.5),'Retirement Planning'!$J$25,IF(OR(B266&gt;59.5,B266=59.5),MAX(0,MIN(F266,IF(D266&lt;2500,((Y266+AJ266+AA266))-X266,((Y266+AJ266+AA266)*'Retirement Planning'!$J$44)-X266))),0))</f>
        <v>9895.0683045137339</v>
      </c>
      <c r="H266" s="255">
        <f ca="1">IF(MONTH(C266)=1,IF(B266&gt;69.5,F266/(INDEX('Retirement Planning'!D$1:D$264,(160+INT(B266))))/12,0),IF(F266=0,0,H265))</f>
        <v>9302.3524026218111</v>
      </c>
      <c r="I266" s="262">
        <f t="shared" ca="1" si="85"/>
        <v>0</v>
      </c>
      <c r="J266" s="254">
        <f ca="1">IF(AND(B265&lt;59.5,OR(B266=59.5,B266&gt;59.5)),0,(J265-K265)*(1+'Retirement Planning'!$J$23/12))</f>
        <v>0</v>
      </c>
      <c r="K266" s="58">
        <f t="shared" ca="1" si="86"/>
        <v>0</v>
      </c>
      <c r="L266" s="57">
        <f>IF(AND(OR(B266&gt;59.5,B266=59.5),B265&lt;59.5),0,(L265-M265)*(1+'Retirement Planning'!$J$23/12))</f>
        <v>0</v>
      </c>
      <c r="M266" s="59">
        <f>IF(AND($B$10&lt;55,B266&lt;59.5),0,IF(B266&lt;59.5,MAX(0,MIN((($Y266+$AJ266+AA266)*'Retirement Planning'!$J$44)-$G266-$X266,L266)),0))</f>
        <v>0</v>
      </c>
      <c r="N266" s="57">
        <f ca="1">(N265-O265)*(1+'Retirement Planning'!$J$23/12)</f>
        <v>0</v>
      </c>
      <c r="O266" s="59">
        <f ca="1">IF(B266&gt;59.5,MAX(0,MIN((AA266+$Y266+$AJ266)*(IF(D266&lt;(MIN(E254:E265)+1),1,'Retirement Planning'!$J$44))-M266-$G266-$X266-(IF(D266&lt;(MIN(E254:E265)+1),D266,0)),N266)),0)</f>
        <v>0</v>
      </c>
      <c r="P266" s="57">
        <f t="shared" si="98"/>
        <v>0</v>
      </c>
      <c r="Q266" s="58">
        <f t="shared" si="99"/>
        <v>0</v>
      </c>
      <c r="R266" s="57">
        <f ca="1">(R265-S265-T265)*(1+'Retirement Planning'!$J$23/12)</f>
        <v>651343.45276738796</v>
      </c>
      <c r="S266" s="58">
        <f t="shared" ca="1" si="100"/>
        <v>808.33333333333337</v>
      </c>
      <c r="T266" s="273">
        <f t="shared" ca="1" si="87"/>
        <v>2.2737367544323206E-13</v>
      </c>
      <c r="U266" s="57">
        <f ca="1">(U265-V265)*(1+'Retirement Planning'!$J$23/12)</f>
        <v>454244.8033554671</v>
      </c>
      <c r="V266" s="24">
        <f ca="1">IF(AND($B$10&lt;55,B266&lt;59.5),MIN(U266,MAX(0,(Y266+AA266+AJ266-G266)*'Retirement Planning'!$J$45)),IF(B266&lt;59.5,(MIN(U266,MAX(0,((Y266+AA266+AJ266)-G266-M266)*'Retirement Planning'!$J$45))),MIN(U266,MAX(0,(Y266+AA266+AJ266-G266-M266-K266-X266)*'Retirement Planning'!$J$45))))</f>
        <v>1198.6390244623458</v>
      </c>
      <c r="W266" s="7">
        <f t="shared" ca="1" si="88"/>
        <v>3074682.0381487189</v>
      </c>
      <c r="X266" s="7">
        <f>(IF(B266&gt;'Retirement Planning'!$J$34,IF('Retirement Planning'!$J$34=70,'Retirement Planning'!$J$37/12,IF('Retirement Planning'!$J$34=67,'Retirement Planning'!$J$36/12,'Retirement Planning'!$J$35/12)),0))*'Retirement Planning'!$J$38</f>
        <v>1213.6000000000001</v>
      </c>
      <c r="Y266" s="7">
        <f ca="1">'Retirement Planning'!$F$35*((1+'Retirement Planning'!$J$24)^(YEAR('Projected Retirement Drawdown'!C266)-YEAR(TODAY())))</f>
        <v>10691.596606809333</v>
      </c>
      <c r="Z266" s="7">
        <f ca="1">G266+M266+O266+0.85*X266+V266*'Retirement Planning'!$J$46+T266</f>
        <v>11585.879767968023</v>
      </c>
      <c r="AA266" s="7">
        <f ca="1">IF(MONTH(C266)=1,(((MIN(MAX(0,((SUM(Z254:Z265)-'Retirement Planning'!$I$53-'Retirement Planning'!$I$54)-'Retirement Planning'!$J$51)*'Retirement Planning'!$I$52))))+(MIN(MAX(0,((SUM(Z254:Z265)-'Retirement Planning'!$I$53-'Retirement Planning'!$I$54)-'Retirement Planning'!$J$50)*'Retirement Planning'!$I$51),('Retirement Planning'!$J$51-'Retirement Planning'!$J$50)*'Retirement Planning'!$I$51))+(MIN(MAX(0,((SUM(Z254:Z265)-'Retirement Planning'!$I$53-'Retirement Planning'!$I$54)-'Retirement Planning'!$J$49)*'Retirement Planning'!$I$50),('Retirement Planning'!$J$50-'Retirement Planning'!$J$49)*'Retirement Planning'!$I$50)+MIN(MAX(0,((SUM(Z254:Z265)-'Retirement Planning'!$I$53-'Retirement Planning'!$I$54)-'Retirement Planning'!$J$48)*'Retirement Planning'!$I$49),('Retirement Planning'!$J$49-'Retirement Planning'!$J$48)*'Retirement Planning'!$I$49)+MIN(((SUM(Z254:Z265)-'Retirement Planning'!$I$53-'Retirement Planning'!$I$54))*'Retirement Planning'!$I$48,('Retirement Planning'!$J$48)*'Retirement Planning'!$I$48))+(IF((SUM(Z254:Z265)-'Retirement Planning'!$I$54-'Retirement Planning'!$I$61)&gt;'Retirement Planning'!$J$59,(SUM(Z254:Z265)-'Retirement Planning'!$I$54-'Retirement Planning'!$I$61-'Retirement Planning'!$J$59)*'Retirement Planning'!$I$60+'Retirement Planning'!$K$59,IF((SUM(Z254:Z265)-'Retirement Planning'!$I$54-'Retirement Planning'!$I$61)&gt;'Retirement Planning'!$J$58,(SUM(Z254:Z265)-'Retirement Planning'!$I$54-'Retirement Planning'!$I$61-'Retirement Planning'!$J$58)*'Retirement Planning'!$I$59+'Retirement Planning'!$K$58,IF((SUM(Z254:Z265)-'Retirement Planning'!$I$54-'Retirement Planning'!$I$61)&gt;'Retirement Planning'!$J$57,(SUM(Z254:Z265)-'Retirement Planning'!$I$54-'Retirement Planning'!$I$61-'Retirement Planning'!$J$57)*'Retirement Planning'!$I$58+'Retirement Planning'!$K$57,IF((SUM(Z254:Z265)-'Retirement Planning'!$I$54-'Retirement Planning'!$I$61)&gt;'Retirement Planning'!$J$56,(SUM(Z254:Z265)-'Retirement Planning'!$I$54-'Retirement Planning'!$I$61-'Retirement Planning'!$J$56)*'Retirement Planning'!$I$57+'Retirement Planning'!$K$56,(SUM(Z254:Z265)-'Retirement Planning'!$I$54-'Retirement Planning'!$I$61)*'Retirement Planning'!$I$56))))))/12,AA265)</f>
        <v>2706.1420407384862</v>
      </c>
      <c r="AB266" s="104">
        <f t="shared" ca="1" si="106"/>
        <v>0.24243213011639636</v>
      </c>
      <c r="AC266" s="7">
        <f>IF(B266&lt;65,'Retirement Planning'!$J$28,0)</f>
        <v>0</v>
      </c>
      <c r="AD266" s="7">
        <f>IF(B266&lt;65,'Retirement Planning'!$J$29/12,0)</f>
        <v>0</v>
      </c>
      <c r="AE266" s="22">
        <f>'Retirement Planning'!$J$31/12</f>
        <v>58.333333333333336</v>
      </c>
      <c r="AF266" s="22">
        <f>'Retirement Planning'!$J$32/12</f>
        <v>66.666666666666671</v>
      </c>
      <c r="AG266" s="7">
        <f>IF($B266&gt;64.9,'Retirement Planning'!$J$39/12,0)</f>
        <v>183.33333333333334</v>
      </c>
      <c r="AH266" s="7">
        <f>IF($B266&gt;64.9,'Retirement Planning'!$J$40/12,0)</f>
        <v>258.33333333333331</v>
      </c>
      <c r="AI266" s="7">
        <f>IF($B266&gt;64.9,'Retirement Planning'!$J$41/12,0)</f>
        <v>558.33333333333337</v>
      </c>
      <c r="AJ266" s="7">
        <f t="shared" ca="1" si="89"/>
        <v>316.66666666666663</v>
      </c>
      <c r="AK266" s="3" t="str">
        <f t="shared" ca="1" si="90"/>
        <v>N/A</v>
      </c>
      <c r="AL266" s="6" t="str">
        <f t="shared" ca="1" si="91"/>
        <v>N/A</v>
      </c>
      <c r="AM266" s="7">
        <f t="shared" ca="1" si="92"/>
        <v>1.1368683772161603E-12</v>
      </c>
      <c r="AN266" s="7">
        <f t="shared" ca="1" si="93"/>
        <v>14522.73864754782</v>
      </c>
      <c r="AO266" s="7">
        <f t="shared" si="94"/>
        <v>1125</v>
      </c>
    </row>
    <row r="267" spans="1:41" x14ac:dyDescent="0.2">
      <c r="A267">
        <f t="shared" si="95"/>
        <v>50</v>
      </c>
      <c r="B267" s="5">
        <f t="shared" si="96"/>
        <v>77.7</v>
      </c>
      <c r="C267" s="56">
        <f t="shared" si="97"/>
        <v>54240</v>
      </c>
      <c r="D267" s="57">
        <f ca="1">IF(AND(B266&lt;59.5,OR(B267&gt;59.5,B267=59.5)),(D266-E266+J266-K266)*(1+'Retirement Planning'!$J$23/12),(D266-E266)*(1+'Retirement Planning'!$J$23/12))</f>
        <v>553512.18382483185</v>
      </c>
      <c r="E267" s="58">
        <f t="shared" ref="E267:E330" ca="1" si="111">MIN(D267,MAX(0,Y267+AA267+AJ267-X267-V267-M267-G267-K267))</f>
        <v>1407.0979852384062</v>
      </c>
      <c r="F267" s="57">
        <f ca="1">IF(AND(OR(B267&gt;59.5,B267=59.5),B266&lt;59.5),(F266-G266+L266-M266+N266-O266)*(1+'Retirement Planning'!$J$23/12),(F266-G266)*(1+'Retirement Planning'!$J$23/12))</f>
        <v>1418147.1225227437</v>
      </c>
      <c r="G267" s="58">
        <f ca="1">IF(AND($B$10&lt;55,B267&lt;59.5),'Retirement Planning'!$J$25,IF(OR(B267&gt;59.5,B267=59.5),MAX(0,MIN(F267,IF(D267&lt;2500,((Y267+AJ267+AA267))-X267,((Y267+AJ267+AA267)*'Retirement Planning'!$J$44)-X267))),0))</f>
        <v>9895.0683045137339</v>
      </c>
      <c r="H267" s="255">
        <f ca="1">IF(MONTH(C267)=1,IF(B267&gt;69.5,F267/(INDEX('Retirement Planning'!D$1:D$264,(160+INT(B267))))/12,0),IF(F267=0,0,H266))</f>
        <v>9302.3524026218111</v>
      </c>
      <c r="I267" s="262">
        <f t="shared" ref="I267:I330" ca="1" si="112">MAX(0,H267-G267)</f>
        <v>0</v>
      </c>
      <c r="J267" s="254">
        <f ca="1">IF(AND(B266&lt;59.5,OR(B267=59.5,B267&gt;59.5)),0,(J266-K266)*(1+'Retirement Planning'!$J$23/12))</f>
        <v>0</v>
      </c>
      <c r="K267" s="58">
        <f t="shared" ref="K267:K330" ca="1" si="113">IF(B267&gt;59.5,MAX(0,MIN(J267,AA267+Y267+AJ267-O267-M267-G267-X267)),0)</f>
        <v>0</v>
      </c>
      <c r="L267" s="57">
        <f>IF(AND(OR(B267&gt;59.5,B267=59.5),B266&lt;59.5),0,(L266-M266)*(1+'Retirement Planning'!$J$23/12))</f>
        <v>0</v>
      </c>
      <c r="M267" s="59">
        <f>IF(AND($B$10&lt;55,B267&lt;59.5),0,IF(B267&lt;59.5,MAX(0,MIN((($Y267+$AJ267+AA267)*'Retirement Planning'!$J$44)-$G267-$X267,L267)),0))</f>
        <v>0</v>
      </c>
      <c r="N267" s="57">
        <f ca="1">(N266-O266)*(1+'Retirement Planning'!$J$23/12)</f>
        <v>0</v>
      </c>
      <c r="O267" s="59">
        <f ca="1">IF(B267&gt;59.5,MAX(0,MIN((AA267+$Y267+$AJ267)*(IF(D267&lt;(MIN(E255:E266)+1),1,'Retirement Planning'!$J$44))-M267-$G267-$X267-(IF(D267&lt;(MIN(E255:E266)+1),D267,0)),N267)),0)</f>
        <v>0</v>
      </c>
      <c r="P267" s="57">
        <f t="shared" si="98"/>
        <v>0</v>
      </c>
      <c r="Q267" s="58">
        <f t="shared" si="99"/>
        <v>0</v>
      </c>
      <c r="R267" s="57">
        <f ca="1">(R266-S266-T266)*(1+'Retirement Planning'!$J$23/12)</f>
        <v>655143.07653004583</v>
      </c>
      <c r="S267" s="58">
        <f t="shared" ca="1" si="100"/>
        <v>808.33333333333337</v>
      </c>
      <c r="T267" s="273">
        <f t="shared" ref="T267:T330" ca="1" si="114">MIN(AN267-E267-G267-K267-M267-O267-Q267-S267-V267-X267,R267-S267)</f>
        <v>2.2737367544323206E-13</v>
      </c>
      <c r="U267" s="57">
        <f ca="1">(U266-V266)*(1+'Retirement Planning'!$J$23/12)</f>
        <v>456255.2413283494</v>
      </c>
      <c r="V267" s="24">
        <f ca="1">IF(AND($B$10&lt;55,B267&lt;59.5),MIN(U267,MAX(0,(Y267+AA267+AJ267-G267)*'Retirement Planning'!$J$45)),IF(B267&lt;59.5,(MIN(U267,MAX(0,((Y267+AA267+AJ267)-G267-M267)*'Retirement Planning'!$J$45))),MIN(U267,MAX(0,(Y267+AA267+AJ267-G267-M267-K267-X267)*'Retirement Planning'!$J$45))))</f>
        <v>1198.6390244623458</v>
      </c>
      <c r="W267" s="7">
        <f t="shared" ref="W267:W330" ca="1" si="115">D267+F267+J267+L267+N267+P267+R267+U267</f>
        <v>3083057.6242059707</v>
      </c>
      <c r="X267" s="7">
        <f>(IF(B267&gt;'Retirement Planning'!$J$34,IF('Retirement Planning'!$J$34=70,'Retirement Planning'!$J$37/12,IF('Retirement Planning'!$J$34=67,'Retirement Planning'!$J$36/12,'Retirement Planning'!$J$35/12)),0))*'Retirement Planning'!$J$38</f>
        <v>1213.6000000000001</v>
      </c>
      <c r="Y267" s="7">
        <f ca="1">'Retirement Planning'!$F$35*((1+'Retirement Planning'!$J$24)^(YEAR('Projected Retirement Drawdown'!C267)-YEAR(TODAY())))</f>
        <v>10691.596606809333</v>
      </c>
      <c r="Z267" s="7">
        <f ca="1">G267+M267+O267+0.85*X267+V267*'Retirement Planning'!$J$46+T267</f>
        <v>11585.879767968023</v>
      </c>
      <c r="AA267" s="7">
        <f ca="1">IF(MONTH(C267)=1,(((MIN(MAX(0,((SUM(Z255:Z266)-'Retirement Planning'!$I$53-'Retirement Planning'!$I$54)-'Retirement Planning'!$J$51)*'Retirement Planning'!$I$52))))+(MIN(MAX(0,((SUM(Z255:Z266)-'Retirement Planning'!$I$53-'Retirement Planning'!$I$54)-'Retirement Planning'!$J$50)*'Retirement Planning'!$I$51),('Retirement Planning'!$J$51-'Retirement Planning'!$J$50)*'Retirement Planning'!$I$51))+(MIN(MAX(0,((SUM(Z255:Z266)-'Retirement Planning'!$I$53-'Retirement Planning'!$I$54)-'Retirement Planning'!$J$49)*'Retirement Planning'!$I$50),('Retirement Planning'!$J$50-'Retirement Planning'!$J$49)*'Retirement Planning'!$I$50)+MIN(MAX(0,((SUM(Z255:Z266)-'Retirement Planning'!$I$53-'Retirement Planning'!$I$54)-'Retirement Planning'!$J$48)*'Retirement Planning'!$I$49),('Retirement Planning'!$J$49-'Retirement Planning'!$J$48)*'Retirement Planning'!$I$49)+MIN(((SUM(Z255:Z266)-'Retirement Planning'!$I$53-'Retirement Planning'!$I$54))*'Retirement Planning'!$I$48,('Retirement Planning'!$J$48)*'Retirement Planning'!$I$48))+(IF((SUM(Z255:Z266)-'Retirement Planning'!$I$54-'Retirement Planning'!$I$61)&gt;'Retirement Planning'!$J$59,(SUM(Z255:Z266)-'Retirement Planning'!$I$54-'Retirement Planning'!$I$61-'Retirement Planning'!$J$59)*'Retirement Planning'!$I$60+'Retirement Planning'!$K$59,IF((SUM(Z255:Z266)-'Retirement Planning'!$I$54-'Retirement Planning'!$I$61)&gt;'Retirement Planning'!$J$58,(SUM(Z255:Z266)-'Retirement Planning'!$I$54-'Retirement Planning'!$I$61-'Retirement Planning'!$J$58)*'Retirement Planning'!$I$59+'Retirement Planning'!$K$58,IF((SUM(Z255:Z266)-'Retirement Planning'!$I$54-'Retirement Planning'!$I$61)&gt;'Retirement Planning'!$J$57,(SUM(Z255:Z266)-'Retirement Planning'!$I$54-'Retirement Planning'!$I$61-'Retirement Planning'!$J$57)*'Retirement Planning'!$I$58+'Retirement Planning'!$K$57,IF((SUM(Z255:Z266)-'Retirement Planning'!$I$54-'Retirement Planning'!$I$61)&gt;'Retirement Planning'!$J$56,(SUM(Z255:Z266)-'Retirement Planning'!$I$54-'Retirement Planning'!$I$61-'Retirement Planning'!$J$56)*'Retirement Planning'!$I$57+'Retirement Planning'!$K$56,(SUM(Z255:Z266)-'Retirement Planning'!$I$54-'Retirement Planning'!$I$61)*'Retirement Planning'!$I$56))))))/12,AA266)</f>
        <v>2706.1420407384862</v>
      </c>
      <c r="AB267" s="104">
        <f t="shared" ca="1" si="106"/>
        <v>0.24243213011639636</v>
      </c>
      <c r="AC267" s="7">
        <f>IF(B267&lt;65,'Retirement Planning'!$J$28,0)</f>
        <v>0</v>
      </c>
      <c r="AD267" s="7">
        <f>IF(B267&lt;65,'Retirement Planning'!$J$29/12,0)</f>
        <v>0</v>
      </c>
      <c r="AE267" s="22">
        <f>'Retirement Planning'!$J$31/12</f>
        <v>58.333333333333336</v>
      </c>
      <c r="AF267" s="22">
        <f>'Retirement Planning'!$J$32/12</f>
        <v>66.666666666666671</v>
      </c>
      <c r="AG267" s="7">
        <f>IF($B267&gt;64.9,'Retirement Planning'!$J$39/12,0)</f>
        <v>183.33333333333334</v>
      </c>
      <c r="AH267" s="7">
        <f>IF($B267&gt;64.9,'Retirement Planning'!$J$40/12,0)</f>
        <v>258.33333333333331</v>
      </c>
      <c r="AI267" s="7">
        <f>IF($B267&gt;64.9,'Retirement Planning'!$J$41/12,0)</f>
        <v>558.33333333333337</v>
      </c>
      <c r="AJ267" s="7">
        <f t="shared" ref="AJ267:AJ330" ca="1" si="116">AC267+AD267+AE267+AF267+AG267+AH267+AI267-S267-Q267</f>
        <v>316.66666666666663</v>
      </c>
      <c r="AK267" s="3" t="str">
        <f t="shared" ref="AK267:AK330" ca="1" si="117">IF(AND(R267&lt;AN267,R266&gt;AN266),C267,AK266)</f>
        <v>N/A</v>
      </c>
      <c r="AL267" s="6" t="str">
        <f t="shared" ref="AL267:AL330" ca="1" si="118">IF(AND(R267&lt;AN267,R266&gt;AN266),B267,AL266)</f>
        <v>N/A</v>
      </c>
      <c r="AM267" s="7">
        <f t="shared" ref="AM267:AM330" ca="1" si="119">AA267+Y267+AC267+AD267+AE267+AF267+AG267+AH267+AI267-X267-S267-Q267-O267-M267-K267-G267-E267-V267-T267</f>
        <v>1.1368683772161603E-12</v>
      </c>
      <c r="AN267" s="7">
        <f t="shared" ref="AN267:AN330" ca="1" si="120">AI267+AH267+AG267+AF267+AE267+AD267+AC267+AA267+Y267</f>
        <v>14522.73864754782</v>
      </c>
      <c r="AO267" s="7">
        <f t="shared" ref="AO267:AO330" si="121">AC267+AD267+AE267+AF267+AG267+AH267+AI267</f>
        <v>1125</v>
      </c>
    </row>
    <row r="268" spans="1:41" x14ac:dyDescent="0.2">
      <c r="A268">
        <f t="shared" ref="A268:A331" si="122">IF(AND(B268&gt;59.5,B267&lt;59.6),ROW(B268),A267)</f>
        <v>50</v>
      </c>
      <c r="B268" s="5">
        <f t="shared" ref="B268:B331" si="123">(INT((((YEAR(C268)-YEAR(DATE(1970,10,16)))*12+MONTH(C268)-MONTH(DATE(1970,10,16)))/12)*10))/10</f>
        <v>77.8</v>
      </c>
      <c r="C268" s="56">
        <f t="shared" ref="C268:C331" si="124">DATE(YEAR(C267),MONTH(C267)+1,1)</f>
        <v>54271</v>
      </c>
      <c r="D268" s="57">
        <f ca="1">IF(AND(B267&lt;59.5,OR(B268&gt;59.5,B268=59.5)),(D267-E267+J267-K267)*(1+'Retirement Planning'!$J$23/12),(D267-E267)*(1+'Retirement Planning'!$J$23/12))</f>
        <v>556015.83019762393</v>
      </c>
      <c r="E268" s="58">
        <f t="shared" ca="1" si="111"/>
        <v>1407.0979852384062</v>
      </c>
      <c r="F268" s="57">
        <f ca="1">IF(AND(OR(B268&gt;59.5,B268=59.5),B267&lt;59.5),(F267-G267+L267-M267+N267-O267)*(1+'Retirement Planning'!$J$23/12),(F267-G267)*(1+'Retirement Planning'!$J$23/12))</f>
        <v>1418227.172935609</v>
      </c>
      <c r="G268" s="58">
        <f ca="1">IF(AND($B$10&lt;55,B268&lt;59.5),'Retirement Planning'!$J$25,IF(OR(B268&gt;59.5,B268=59.5),MAX(0,MIN(F268,IF(D268&lt;2500,((Y268+AJ268+AA268))-X268,((Y268+AJ268+AA268)*'Retirement Planning'!$J$44)-X268))),0))</f>
        <v>9895.0683045137339</v>
      </c>
      <c r="H268" s="255">
        <f ca="1">IF(MONTH(C268)=1,IF(B268&gt;69.5,F268/(INDEX('Retirement Planning'!D$1:D$264,(160+INT(B268))))/12,0),IF(F268=0,0,H267))</f>
        <v>9302.3524026218111</v>
      </c>
      <c r="I268" s="262">
        <f t="shared" ca="1" si="112"/>
        <v>0</v>
      </c>
      <c r="J268" s="254">
        <f ca="1">IF(AND(B267&lt;59.5,OR(B268=59.5,B268&gt;59.5)),0,(J267-K267)*(1+'Retirement Planning'!$J$23/12))</f>
        <v>0</v>
      </c>
      <c r="K268" s="58">
        <f t="shared" ca="1" si="113"/>
        <v>0</v>
      </c>
      <c r="L268" s="57">
        <f>IF(AND(OR(B268&gt;59.5,B268=59.5),B267&lt;59.5),0,(L267-M267)*(1+'Retirement Planning'!$J$23/12))</f>
        <v>0</v>
      </c>
      <c r="M268" s="59">
        <f>IF(AND($B$10&lt;55,B268&lt;59.5),0,IF(B268&lt;59.5,MAX(0,MIN((($Y268+$AJ268+AA268)*'Retirement Planning'!$J$44)-$G268-$X268,L268)),0))</f>
        <v>0</v>
      </c>
      <c r="N268" s="57">
        <f ca="1">(N267-O267)*(1+'Retirement Planning'!$J$23/12)</f>
        <v>0</v>
      </c>
      <c r="O268" s="59">
        <f ca="1">IF(B268&gt;59.5,MAX(0,MIN((AA268+$Y268+$AJ268)*(IF(D268&lt;(MIN(E256:E267)+1),1,'Retirement Planning'!$J$44))-M268-$G268-$X268-(IF(D268&lt;(MIN(E256:E267)+1),D268,0)),N268)),0)</f>
        <v>0</v>
      </c>
      <c r="P268" s="57">
        <f t="shared" ref="P268:P331" si="125">P267-Q267</f>
        <v>0</v>
      </c>
      <c r="Q268" s="58">
        <f t="shared" ref="Q268:Q331" si="126">MIN(AC268+AE268+AH268,P268)</f>
        <v>0</v>
      </c>
      <c r="R268" s="57">
        <f ca="1">(R267-S267-T267)*(1+'Retirement Planning'!$J$23/12)</f>
        <v>658969.61429435585</v>
      </c>
      <c r="S268" s="58">
        <f t="shared" ref="S268:S331" ca="1" si="127">MIN(AD268+AF268+AG268+AI268,R268)</f>
        <v>808.33333333333337</v>
      </c>
      <c r="T268" s="273">
        <f t="shared" ca="1" si="114"/>
        <v>2.2737367544323206E-13</v>
      </c>
      <c r="U268" s="57">
        <f ca="1">(U267-V267)*(1+'Retirement Planning'!$J$23/12)</f>
        <v>458279.91990353959</v>
      </c>
      <c r="V268" s="24">
        <f ca="1">IF(AND($B$10&lt;55,B268&lt;59.5),MIN(U268,MAX(0,(Y268+AA268+AJ268-G268)*'Retirement Planning'!$J$45)),IF(B268&lt;59.5,(MIN(U268,MAX(0,((Y268+AA268+AJ268)-G268-M268)*'Retirement Planning'!$J$45))),MIN(U268,MAX(0,(Y268+AA268+AJ268-G268-M268-K268-X268)*'Retirement Planning'!$J$45))))</f>
        <v>1198.6390244623458</v>
      </c>
      <c r="W268" s="7">
        <f t="shared" ca="1" si="115"/>
        <v>3091492.5373311285</v>
      </c>
      <c r="X268" s="7">
        <f>(IF(B268&gt;'Retirement Planning'!$J$34,IF('Retirement Planning'!$J$34=70,'Retirement Planning'!$J$37/12,IF('Retirement Planning'!$J$34=67,'Retirement Planning'!$J$36/12,'Retirement Planning'!$J$35/12)),0))*'Retirement Planning'!$J$38</f>
        <v>1213.6000000000001</v>
      </c>
      <c r="Y268" s="7">
        <f ca="1">'Retirement Planning'!$F$35*((1+'Retirement Planning'!$J$24)^(YEAR('Projected Retirement Drawdown'!C268)-YEAR(TODAY())))</f>
        <v>10691.596606809333</v>
      </c>
      <c r="Z268" s="7">
        <f ca="1">G268+M268+O268+0.85*X268+V268*'Retirement Planning'!$J$46+T268</f>
        <v>11585.879767968023</v>
      </c>
      <c r="AA268" s="7">
        <f ca="1">IF(MONTH(C268)=1,(((MIN(MAX(0,((SUM(Z256:Z267)-'Retirement Planning'!$I$53-'Retirement Planning'!$I$54)-'Retirement Planning'!$J$51)*'Retirement Planning'!$I$52))))+(MIN(MAX(0,((SUM(Z256:Z267)-'Retirement Planning'!$I$53-'Retirement Planning'!$I$54)-'Retirement Planning'!$J$50)*'Retirement Planning'!$I$51),('Retirement Planning'!$J$51-'Retirement Planning'!$J$50)*'Retirement Planning'!$I$51))+(MIN(MAX(0,((SUM(Z256:Z267)-'Retirement Planning'!$I$53-'Retirement Planning'!$I$54)-'Retirement Planning'!$J$49)*'Retirement Planning'!$I$50),('Retirement Planning'!$J$50-'Retirement Planning'!$J$49)*'Retirement Planning'!$I$50)+MIN(MAX(0,((SUM(Z256:Z267)-'Retirement Planning'!$I$53-'Retirement Planning'!$I$54)-'Retirement Planning'!$J$48)*'Retirement Planning'!$I$49),('Retirement Planning'!$J$49-'Retirement Planning'!$J$48)*'Retirement Planning'!$I$49)+MIN(((SUM(Z256:Z267)-'Retirement Planning'!$I$53-'Retirement Planning'!$I$54))*'Retirement Planning'!$I$48,('Retirement Planning'!$J$48)*'Retirement Planning'!$I$48))+(IF((SUM(Z256:Z267)-'Retirement Planning'!$I$54-'Retirement Planning'!$I$61)&gt;'Retirement Planning'!$J$59,(SUM(Z256:Z267)-'Retirement Planning'!$I$54-'Retirement Planning'!$I$61-'Retirement Planning'!$J$59)*'Retirement Planning'!$I$60+'Retirement Planning'!$K$59,IF((SUM(Z256:Z267)-'Retirement Planning'!$I$54-'Retirement Planning'!$I$61)&gt;'Retirement Planning'!$J$58,(SUM(Z256:Z267)-'Retirement Planning'!$I$54-'Retirement Planning'!$I$61-'Retirement Planning'!$J$58)*'Retirement Planning'!$I$59+'Retirement Planning'!$K$58,IF((SUM(Z256:Z267)-'Retirement Planning'!$I$54-'Retirement Planning'!$I$61)&gt;'Retirement Planning'!$J$57,(SUM(Z256:Z267)-'Retirement Planning'!$I$54-'Retirement Planning'!$I$61-'Retirement Planning'!$J$57)*'Retirement Planning'!$I$58+'Retirement Planning'!$K$57,IF((SUM(Z256:Z267)-'Retirement Planning'!$I$54-'Retirement Planning'!$I$61)&gt;'Retirement Planning'!$J$56,(SUM(Z256:Z267)-'Retirement Planning'!$I$54-'Retirement Planning'!$I$61-'Retirement Planning'!$J$56)*'Retirement Planning'!$I$57+'Retirement Planning'!$K$56,(SUM(Z256:Z267)-'Retirement Planning'!$I$54-'Retirement Planning'!$I$61)*'Retirement Planning'!$I$56))))))/12,AA267)</f>
        <v>2706.1420407384862</v>
      </c>
      <c r="AB268" s="104">
        <f t="shared" ca="1" si="106"/>
        <v>0.24243213011639636</v>
      </c>
      <c r="AC268" s="7">
        <f>IF(B268&lt;65,'Retirement Planning'!$J$28,0)</f>
        <v>0</v>
      </c>
      <c r="AD268" s="7">
        <f>IF(B268&lt;65,'Retirement Planning'!$J$29/12,0)</f>
        <v>0</v>
      </c>
      <c r="AE268" s="22">
        <f>'Retirement Planning'!$J$31/12</f>
        <v>58.333333333333336</v>
      </c>
      <c r="AF268" s="22">
        <f>'Retirement Planning'!$J$32/12</f>
        <v>66.666666666666671</v>
      </c>
      <c r="AG268" s="7">
        <f>IF($B268&gt;64.9,'Retirement Planning'!$J$39/12,0)</f>
        <v>183.33333333333334</v>
      </c>
      <c r="AH268" s="7">
        <f>IF($B268&gt;64.9,'Retirement Planning'!$J$40/12,0)</f>
        <v>258.33333333333331</v>
      </c>
      <c r="AI268" s="7">
        <f>IF($B268&gt;64.9,'Retirement Planning'!$J$41/12,0)</f>
        <v>558.33333333333337</v>
      </c>
      <c r="AJ268" s="7">
        <f t="shared" ca="1" si="116"/>
        <v>316.66666666666663</v>
      </c>
      <c r="AK268" s="3" t="str">
        <f t="shared" ca="1" si="117"/>
        <v>N/A</v>
      </c>
      <c r="AL268" s="6" t="str">
        <f t="shared" ca="1" si="118"/>
        <v>N/A</v>
      </c>
      <c r="AM268" s="7">
        <f t="shared" ca="1" si="119"/>
        <v>1.1368683772161603E-12</v>
      </c>
      <c r="AN268" s="7">
        <f t="shared" ca="1" si="120"/>
        <v>14522.73864754782</v>
      </c>
      <c r="AO268" s="7">
        <f t="shared" si="121"/>
        <v>1125</v>
      </c>
    </row>
    <row r="269" spans="1:41" x14ac:dyDescent="0.2">
      <c r="A269">
        <f t="shared" si="122"/>
        <v>50</v>
      </c>
      <c r="B269" s="5">
        <f t="shared" si="123"/>
        <v>77.900000000000006</v>
      </c>
      <c r="C269" s="56">
        <f t="shared" si="124"/>
        <v>54302</v>
      </c>
      <c r="D269" s="57">
        <f ca="1">IF(AND(B268&lt;59.5,OR(B269&gt;59.5,B269=59.5)),(D268-E268+J268-K268)*(1+'Retirement Planning'!$J$23/12),(D268-E268)*(1+'Retirement Planning'!$J$23/12))</f>
        <v>558537.21073222323</v>
      </c>
      <c r="E269" s="58">
        <f t="shared" ca="1" si="111"/>
        <v>1407.0979852384062</v>
      </c>
      <c r="F269" s="57">
        <f ca="1">IF(AND(OR(B269&gt;59.5,B269=59.5),B268&lt;59.5),(F268-G268+L268-M268+N268-O268)*(1+'Retirement Planning'!$J$23/12),(F268-G268)*(1+'Retirement Planning'!$J$23/12))</f>
        <v>1418307.7903722322</v>
      </c>
      <c r="G269" s="58">
        <f ca="1">IF(AND($B$10&lt;55,B269&lt;59.5),'Retirement Planning'!$J$25,IF(OR(B269&gt;59.5,B269=59.5),MAX(0,MIN(F269,IF(D269&lt;2500,((Y269+AJ269+AA269))-X269,((Y269+AJ269+AA269)*'Retirement Planning'!$J$44)-X269))),0))</f>
        <v>9895.0683045137339</v>
      </c>
      <c r="H269" s="255">
        <f ca="1">IF(MONTH(C269)=1,IF(B269&gt;69.5,F269/(INDEX('Retirement Planning'!D$1:D$264,(160+INT(B269))))/12,0),IF(F269=0,0,H268))</f>
        <v>9302.3524026218111</v>
      </c>
      <c r="I269" s="262">
        <f t="shared" ca="1" si="112"/>
        <v>0</v>
      </c>
      <c r="J269" s="254">
        <f ca="1">IF(AND(B268&lt;59.5,OR(B269=59.5,B269&gt;59.5)),0,(J268-K268)*(1+'Retirement Planning'!$J$23/12))</f>
        <v>0</v>
      </c>
      <c r="K269" s="58">
        <f t="shared" ca="1" si="113"/>
        <v>0</v>
      </c>
      <c r="L269" s="57">
        <f>IF(AND(OR(B269&gt;59.5,B269=59.5),B268&lt;59.5),0,(L268-M268)*(1+'Retirement Planning'!$J$23/12))</f>
        <v>0</v>
      </c>
      <c r="M269" s="59">
        <f>IF(AND($B$10&lt;55,B269&lt;59.5),0,IF(B269&lt;59.5,MAX(0,MIN((($Y269+$AJ269+AA269)*'Retirement Planning'!$J$44)-$G269-$X269,L269)),0))</f>
        <v>0</v>
      </c>
      <c r="N269" s="57">
        <f ca="1">(N268-O268)*(1+'Retirement Planning'!$J$23/12)</f>
        <v>0</v>
      </c>
      <c r="O269" s="59">
        <f ca="1">IF(B269&gt;59.5,MAX(0,MIN((AA269+$Y269+$AJ269)*(IF(D269&lt;(MIN(E257:E268)+1),1,'Retirement Planning'!$J$44))-M269-$G269-$X269-(IF(D269&lt;(MIN(E257:E268)+1),D269,0)),N269)),0)</f>
        <v>0</v>
      </c>
      <c r="P269" s="57">
        <f t="shared" si="125"/>
        <v>0</v>
      </c>
      <c r="Q269" s="58">
        <f t="shared" si="126"/>
        <v>0</v>
      </c>
      <c r="R269" s="57">
        <f ca="1">(R268-S268-T268)*(1+'Retirement Planning'!$J$23/12)</f>
        <v>662823.25670116302</v>
      </c>
      <c r="S269" s="58">
        <f t="shared" ca="1" si="127"/>
        <v>808.33333333333337</v>
      </c>
      <c r="T269" s="273">
        <f t="shared" ca="1" si="114"/>
        <v>2.2737367544323206E-13</v>
      </c>
      <c r="U269" s="57">
        <f ca="1">(U268-V268)*(1+'Retirement Planning'!$J$23/12)</f>
        <v>460318.93995197071</v>
      </c>
      <c r="V269" s="24">
        <f ca="1">IF(AND($B$10&lt;55,B269&lt;59.5),MIN(U269,MAX(0,(Y269+AA269+AJ269-G269)*'Retirement Planning'!$J$45)),IF(B269&lt;59.5,(MIN(U269,MAX(0,((Y269+AA269+AJ269)-G269-M269)*'Retirement Planning'!$J$45))),MIN(U269,MAX(0,(Y269+AA269+AJ269-G269-M269-K269-X269)*'Retirement Planning'!$J$45))))</f>
        <v>1198.6390244623458</v>
      </c>
      <c r="W269" s="7">
        <f t="shared" ca="1" si="115"/>
        <v>3099987.1977575892</v>
      </c>
      <c r="X269" s="7">
        <f>(IF(B269&gt;'Retirement Planning'!$J$34,IF('Retirement Planning'!$J$34=70,'Retirement Planning'!$J$37/12,IF('Retirement Planning'!$J$34=67,'Retirement Planning'!$J$36/12,'Retirement Planning'!$J$35/12)),0))*'Retirement Planning'!$J$38</f>
        <v>1213.6000000000001</v>
      </c>
      <c r="Y269" s="7">
        <f ca="1">'Retirement Planning'!$F$35*((1+'Retirement Planning'!$J$24)^(YEAR('Projected Retirement Drawdown'!C269)-YEAR(TODAY())))</f>
        <v>10691.596606809333</v>
      </c>
      <c r="Z269" s="7">
        <f ca="1">G269+M269+O269+0.85*X269+V269*'Retirement Planning'!$J$46+T269</f>
        <v>11585.879767968023</v>
      </c>
      <c r="AA269" s="7">
        <f ca="1">IF(MONTH(C269)=1,(((MIN(MAX(0,((SUM(Z257:Z268)-'Retirement Planning'!$I$53-'Retirement Planning'!$I$54)-'Retirement Planning'!$J$51)*'Retirement Planning'!$I$52))))+(MIN(MAX(0,((SUM(Z257:Z268)-'Retirement Planning'!$I$53-'Retirement Planning'!$I$54)-'Retirement Planning'!$J$50)*'Retirement Planning'!$I$51),('Retirement Planning'!$J$51-'Retirement Planning'!$J$50)*'Retirement Planning'!$I$51))+(MIN(MAX(0,((SUM(Z257:Z268)-'Retirement Planning'!$I$53-'Retirement Planning'!$I$54)-'Retirement Planning'!$J$49)*'Retirement Planning'!$I$50),('Retirement Planning'!$J$50-'Retirement Planning'!$J$49)*'Retirement Planning'!$I$50)+MIN(MAX(0,((SUM(Z257:Z268)-'Retirement Planning'!$I$53-'Retirement Planning'!$I$54)-'Retirement Planning'!$J$48)*'Retirement Planning'!$I$49),('Retirement Planning'!$J$49-'Retirement Planning'!$J$48)*'Retirement Planning'!$I$49)+MIN(((SUM(Z257:Z268)-'Retirement Planning'!$I$53-'Retirement Planning'!$I$54))*'Retirement Planning'!$I$48,('Retirement Planning'!$J$48)*'Retirement Planning'!$I$48))+(IF((SUM(Z257:Z268)-'Retirement Planning'!$I$54-'Retirement Planning'!$I$61)&gt;'Retirement Planning'!$J$59,(SUM(Z257:Z268)-'Retirement Planning'!$I$54-'Retirement Planning'!$I$61-'Retirement Planning'!$J$59)*'Retirement Planning'!$I$60+'Retirement Planning'!$K$59,IF((SUM(Z257:Z268)-'Retirement Planning'!$I$54-'Retirement Planning'!$I$61)&gt;'Retirement Planning'!$J$58,(SUM(Z257:Z268)-'Retirement Planning'!$I$54-'Retirement Planning'!$I$61-'Retirement Planning'!$J$58)*'Retirement Planning'!$I$59+'Retirement Planning'!$K$58,IF((SUM(Z257:Z268)-'Retirement Planning'!$I$54-'Retirement Planning'!$I$61)&gt;'Retirement Planning'!$J$57,(SUM(Z257:Z268)-'Retirement Planning'!$I$54-'Retirement Planning'!$I$61-'Retirement Planning'!$J$57)*'Retirement Planning'!$I$58+'Retirement Planning'!$K$57,IF((SUM(Z257:Z268)-'Retirement Planning'!$I$54-'Retirement Planning'!$I$61)&gt;'Retirement Planning'!$J$56,(SUM(Z257:Z268)-'Retirement Planning'!$I$54-'Retirement Planning'!$I$61-'Retirement Planning'!$J$56)*'Retirement Planning'!$I$57+'Retirement Planning'!$K$56,(SUM(Z257:Z268)-'Retirement Planning'!$I$54-'Retirement Planning'!$I$61)*'Retirement Planning'!$I$56))))))/12,AA268)</f>
        <v>2706.1420407384862</v>
      </c>
      <c r="AB269" s="104">
        <f t="shared" ca="1" si="106"/>
        <v>0.24243213011639636</v>
      </c>
      <c r="AC269" s="7">
        <f>IF(B269&lt;65,'Retirement Planning'!$J$28,0)</f>
        <v>0</v>
      </c>
      <c r="AD269" s="7">
        <f>IF(B269&lt;65,'Retirement Planning'!$J$29/12,0)</f>
        <v>0</v>
      </c>
      <c r="AE269" s="22">
        <f>'Retirement Planning'!$J$31/12</f>
        <v>58.333333333333336</v>
      </c>
      <c r="AF269" s="22">
        <f>'Retirement Planning'!$J$32/12</f>
        <v>66.666666666666671</v>
      </c>
      <c r="AG269" s="7">
        <f>IF($B269&gt;64.9,'Retirement Planning'!$J$39/12,0)</f>
        <v>183.33333333333334</v>
      </c>
      <c r="AH269" s="7">
        <f>IF($B269&gt;64.9,'Retirement Planning'!$J$40/12,0)</f>
        <v>258.33333333333331</v>
      </c>
      <c r="AI269" s="7">
        <f>IF($B269&gt;64.9,'Retirement Planning'!$J$41/12,0)</f>
        <v>558.33333333333337</v>
      </c>
      <c r="AJ269" s="7">
        <f t="shared" ca="1" si="116"/>
        <v>316.66666666666663</v>
      </c>
      <c r="AK269" s="3" t="str">
        <f t="shared" ca="1" si="117"/>
        <v>N/A</v>
      </c>
      <c r="AL269" s="6" t="str">
        <f t="shared" ca="1" si="118"/>
        <v>N/A</v>
      </c>
      <c r="AM269" s="7">
        <f t="shared" ca="1" si="119"/>
        <v>1.1368683772161603E-12</v>
      </c>
      <c r="AN269" s="7">
        <f t="shared" ca="1" si="120"/>
        <v>14522.73864754782</v>
      </c>
      <c r="AO269" s="7">
        <f t="shared" si="121"/>
        <v>1125</v>
      </c>
    </row>
    <row r="270" spans="1:41" x14ac:dyDescent="0.2">
      <c r="A270">
        <f t="shared" si="122"/>
        <v>50</v>
      </c>
      <c r="B270" s="5">
        <f t="shared" si="123"/>
        <v>78</v>
      </c>
      <c r="C270" s="56">
        <f t="shared" si="124"/>
        <v>54332</v>
      </c>
      <c r="D270" s="57">
        <f ca="1">IF(AND(B269&lt;59.5,OR(B270&gt;59.5,B270=59.5)),(D269-E269+J269-K269)*(1+'Retirement Planning'!$J$23/12),(D269-E269)*(1+'Retirement Planning'!$J$23/12))</f>
        <v>561076.45104560931</v>
      </c>
      <c r="E270" s="58">
        <f t="shared" ca="1" si="111"/>
        <v>1407.0979852384062</v>
      </c>
      <c r="F270" s="57">
        <f ca="1">IF(AND(OR(B270&gt;59.5,B270=59.5),B269&lt;59.5),(F269-G269+L269-M269+N269-O269)*(1+'Retirement Planning'!$J$23/12),(F269-G269)*(1+'Retirement Planning'!$J$23/12))</f>
        <v>1418388.9788490315</v>
      </c>
      <c r="G270" s="58">
        <f ca="1">IF(AND($B$10&lt;55,B270&lt;59.5),'Retirement Planning'!$J$25,IF(OR(B270&gt;59.5,B270=59.5),MAX(0,MIN(F270,IF(D270&lt;2500,((Y270+AJ270+AA270))-X270,((Y270+AJ270+AA270)*'Retirement Planning'!$J$44)-X270))),0))</f>
        <v>9895.0683045137339</v>
      </c>
      <c r="H270" s="255">
        <f ca="1">IF(MONTH(C270)=1,IF(B270&gt;69.5,F270/(INDEX('Retirement Planning'!D$1:D$264,(160+INT(B270))))/12,0),IF(F270=0,0,H269))</f>
        <v>9302.3524026218111</v>
      </c>
      <c r="I270" s="262">
        <f t="shared" ca="1" si="112"/>
        <v>0</v>
      </c>
      <c r="J270" s="254">
        <f ca="1">IF(AND(B269&lt;59.5,OR(B270=59.5,B270&gt;59.5)),0,(J269-K269)*(1+'Retirement Planning'!$J$23/12))</f>
        <v>0</v>
      </c>
      <c r="K270" s="58">
        <f t="shared" ca="1" si="113"/>
        <v>0</v>
      </c>
      <c r="L270" s="57">
        <f>IF(AND(OR(B270&gt;59.5,B270=59.5),B269&lt;59.5),0,(L269-M269)*(1+'Retirement Planning'!$J$23/12))</f>
        <v>0</v>
      </c>
      <c r="M270" s="59">
        <f>IF(AND($B$10&lt;55,B270&lt;59.5),0,IF(B270&lt;59.5,MAX(0,MIN((($Y270+$AJ270+AA270)*'Retirement Planning'!$J$44)-$G270-$X270,L270)),0))</f>
        <v>0</v>
      </c>
      <c r="N270" s="57">
        <f ca="1">(N269-O269)*(1+'Retirement Planning'!$J$23/12)</f>
        <v>0</v>
      </c>
      <c r="O270" s="59">
        <f ca="1">IF(B270&gt;59.5,MAX(0,MIN((AA270+$Y270+$AJ270)*(IF(D270&lt;(MIN(E258:E269)+1),1,'Retirement Planning'!$J$44))-M270-$G270-$X270-(IF(D270&lt;(MIN(E258:E269)+1),D270,0)),N270)),0)</f>
        <v>0</v>
      </c>
      <c r="P270" s="57">
        <f t="shared" si="125"/>
        <v>0</v>
      </c>
      <c r="Q270" s="58">
        <f t="shared" si="126"/>
        <v>0</v>
      </c>
      <c r="R270" s="57">
        <f ca="1">(R269-S269-T269)*(1+'Retirement Planning'!$J$23/12)</f>
        <v>666704.19574168511</v>
      </c>
      <c r="S270" s="58">
        <f t="shared" ca="1" si="127"/>
        <v>808.33333333333337</v>
      </c>
      <c r="T270" s="273">
        <f t="shared" ca="1" si="114"/>
        <v>2.2737367544323206E-13</v>
      </c>
      <c r="U270" s="57">
        <f ca="1">(U269-V269)*(1+'Retirement Planning'!$J$23/12)</f>
        <v>462372.40305907826</v>
      </c>
      <c r="V270" s="24">
        <f ca="1">IF(AND($B$10&lt;55,B270&lt;59.5),MIN(U270,MAX(0,(Y270+AA270+AJ270-G270)*'Retirement Planning'!$J$45)),IF(B270&lt;59.5,(MIN(U270,MAX(0,((Y270+AA270+AJ270)-G270-M270)*'Retirement Planning'!$J$45))),MIN(U270,MAX(0,(Y270+AA270+AJ270-G270-M270-K270-X270)*'Retirement Planning'!$J$45))))</f>
        <v>1198.6390244623458</v>
      </c>
      <c r="W270" s="7">
        <f t="shared" ca="1" si="115"/>
        <v>3108542.0286954045</v>
      </c>
      <c r="X270" s="7">
        <f>(IF(B270&gt;'Retirement Planning'!$J$34,IF('Retirement Planning'!$J$34=70,'Retirement Planning'!$J$37/12,IF('Retirement Planning'!$J$34=67,'Retirement Planning'!$J$36/12,'Retirement Planning'!$J$35/12)),0))*'Retirement Planning'!$J$38</f>
        <v>1213.6000000000001</v>
      </c>
      <c r="Y270" s="7">
        <f ca="1">'Retirement Planning'!$F$35*((1+'Retirement Planning'!$J$24)^(YEAR('Projected Retirement Drawdown'!C270)-YEAR(TODAY())))</f>
        <v>10691.596606809333</v>
      </c>
      <c r="Z270" s="7">
        <f ca="1">G270+M270+O270+0.85*X270+V270*'Retirement Planning'!$J$46+T270</f>
        <v>11585.879767968023</v>
      </c>
      <c r="AA270" s="7">
        <f ca="1">IF(MONTH(C270)=1,(((MIN(MAX(0,((SUM(Z258:Z269)-'Retirement Planning'!$I$53-'Retirement Planning'!$I$54)-'Retirement Planning'!$J$51)*'Retirement Planning'!$I$52))))+(MIN(MAX(0,((SUM(Z258:Z269)-'Retirement Planning'!$I$53-'Retirement Planning'!$I$54)-'Retirement Planning'!$J$50)*'Retirement Planning'!$I$51),('Retirement Planning'!$J$51-'Retirement Planning'!$J$50)*'Retirement Planning'!$I$51))+(MIN(MAX(0,((SUM(Z258:Z269)-'Retirement Planning'!$I$53-'Retirement Planning'!$I$54)-'Retirement Planning'!$J$49)*'Retirement Planning'!$I$50),('Retirement Planning'!$J$50-'Retirement Planning'!$J$49)*'Retirement Planning'!$I$50)+MIN(MAX(0,((SUM(Z258:Z269)-'Retirement Planning'!$I$53-'Retirement Planning'!$I$54)-'Retirement Planning'!$J$48)*'Retirement Planning'!$I$49),('Retirement Planning'!$J$49-'Retirement Planning'!$J$48)*'Retirement Planning'!$I$49)+MIN(((SUM(Z258:Z269)-'Retirement Planning'!$I$53-'Retirement Planning'!$I$54))*'Retirement Planning'!$I$48,('Retirement Planning'!$J$48)*'Retirement Planning'!$I$48))+(IF((SUM(Z258:Z269)-'Retirement Planning'!$I$54-'Retirement Planning'!$I$61)&gt;'Retirement Planning'!$J$59,(SUM(Z258:Z269)-'Retirement Planning'!$I$54-'Retirement Planning'!$I$61-'Retirement Planning'!$J$59)*'Retirement Planning'!$I$60+'Retirement Planning'!$K$59,IF((SUM(Z258:Z269)-'Retirement Planning'!$I$54-'Retirement Planning'!$I$61)&gt;'Retirement Planning'!$J$58,(SUM(Z258:Z269)-'Retirement Planning'!$I$54-'Retirement Planning'!$I$61-'Retirement Planning'!$J$58)*'Retirement Planning'!$I$59+'Retirement Planning'!$K$58,IF((SUM(Z258:Z269)-'Retirement Planning'!$I$54-'Retirement Planning'!$I$61)&gt;'Retirement Planning'!$J$57,(SUM(Z258:Z269)-'Retirement Planning'!$I$54-'Retirement Planning'!$I$61-'Retirement Planning'!$J$57)*'Retirement Planning'!$I$58+'Retirement Planning'!$K$57,IF((SUM(Z258:Z269)-'Retirement Planning'!$I$54-'Retirement Planning'!$I$61)&gt;'Retirement Planning'!$J$56,(SUM(Z258:Z269)-'Retirement Planning'!$I$54-'Retirement Planning'!$I$61-'Retirement Planning'!$J$56)*'Retirement Planning'!$I$57+'Retirement Planning'!$K$56,(SUM(Z258:Z269)-'Retirement Planning'!$I$54-'Retirement Planning'!$I$61)*'Retirement Planning'!$I$56))))))/12,AA269)</f>
        <v>2706.1420407384862</v>
      </c>
      <c r="AB270" s="104">
        <f t="shared" ca="1" si="106"/>
        <v>0.24243213011639636</v>
      </c>
      <c r="AC270" s="7">
        <f>IF(B270&lt;65,'Retirement Planning'!$J$28,0)</f>
        <v>0</v>
      </c>
      <c r="AD270" s="7">
        <f>IF(B270&lt;65,'Retirement Planning'!$J$29/12,0)</f>
        <v>0</v>
      </c>
      <c r="AE270" s="22">
        <f>'Retirement Planning'!$J$31/12</f>
        <v>58.333333333333336</v>
      </c>
      <c r="AF270" s="22">
        <f>'Retirement Planning'!$J$32/12</f>
        <v>66.666666666666671</v>
      </c>
      <c r="AG270" s="7">
        <f>IF($B270&gt;64.9,'Retirement Planning'!$J$39/12,0)</f>
        <v>183.33333333333334</v>
      </c>
      <c r="AH270" s="7">
        <f>IF($B270&gt;64.9,'Retirement Planning'!$J$40/12,0)</f>
        <v>258.33333333333331</v>
      </c>
      <c r="AI270" s="7">
        <f>IF($B270&gt;64.9,'Retirement Planning'!$J$41/12,0)</f>
        <v>558.33333333333337</v>
      </c>
      <c r="AJ270" s="7">
        <f t="shared" ca="1" si="116"/>
        <v>316.66666666666663</v>
      </c>
      <c r="AK270" s="3" t="str">
        <f t="shared" ca="1" si="117"/>
        <v>N/A</v>
      </c>
      <c r="AL270" s="6" t="str">
        <f t="shared" ca="1" si="118"/>
        <v>N/A</v>
      </c>
      <c r="AM270" s="7">
        <f t="shared" ca="1" si="119"/>
        <v>1.1368683772161603E-12</v>
      </c>
      <c r="AN270" s="7">
        <f t="shared" ca="1" si="120"/>
        <v>14522.73864754782</v>
      </c>
      <c r="AO270" s="7">
        <f t="shared" si="121"/>
        <v>1125</v>
      </c>
    </row>
    <row r="271" spans="1:41" x14ac:dyDescent="0.2">
      <c r="A271">
        <f t="shared" si="122"/>
        <v>50</v>
      </c>
      <c r="B271" s="5">
        <f t="shared" si="123"/>
        <v>78</v>
      </c>
      <c r="C271" s="56">
        <f t="shared" si="124"/>
        <v>54363</v>
      </c>
      <c r="D271" s="57">
        <f ca="1">IF(AND(B270&lt;59.5,OR(B271&gt;59.5,B271=59.5)),(D270-E270+J270-K270)*(1+'Retirement Planning'!$J$23/12),(D270-E270)*(1+'Retirement Planning'!$J$23/12))</f>
        <v>563633.67764454847</v>
      </c>
      <c r="E271" s="58">
        <f t="shared" ca="1" si="111"/>
        <v>1407.0979852384062</v>
      </c>
      <c r="F271" s="57">
        <f ca="1">IF(AND(OR(B271&gt;59.5,B271=59.5),B270&lt;59.5),(F270-G270+L270-M270+N270-O270)*(1+'Retirement Planning'!$J$23/12),(F270-G270)*(1+'Retirement Planning'!$J$23/12))</f>
        <v>1418470.7424108747</v>
      </c>
      <c r="G271" s="58">
        <f ca="1">IF(AND($B$10&lt;55,B271&lt;59.5),'Retirement Planning'!$J$25,IF(OR(B271&gt;59.5,B271=59.5),MAX(0,MIN(F271,IF(D271&lt;2500,((Y271+AJ271+AA271))-X271,((Y271+AJ271+AA271)*'Retirement Planning'!$J$44)-X271))),0))</f>
        <v>9895.0683045137339</v>
      </c>
      <c r="H271" s="255">
        <f ca="1">IF(MONTH(C271)=1,IF(B271&gt;69.5,F271/(INDEX('Retirement Planning'!D$1:D$264,(160+INT(B271))))/12,0),IF(F271=0,0,H270))</f>
        <v>9302.3524026218111</v>
      </c>
      <c r="I271" s="262">
        <f t="shared" ca="1" si="112"/>
        <v>0</v>
      </c>
      <c r="J271" s="254">
        <f ca="1">IF(AND(B270&lt;59.5,OR(B271=59.5,B271&gt;59.5)),0,(J270-K270)*(1+'Retirement Planning'!$J$23/12))</f>
        <v>0</v>
      </c>
      <c r="K271" s="58">
        <f t="shared" ca="1" si="113"/>
        <v>0</v>
      </c>
      <c r="L271" s="57">
        <f>IF(AND(OR(B271&gt;59.5,B271=59.5),B270&lt;59.5),0,(L270-M270)*(1+'Retirement Planning'!$J$23/12))</f>
        <v>0</v>
      </c>
      <c r="M271" s="59">
        <f>IF(AND($B$10&lt;55,B271&lt;59.5),0,IF(B271&lt;59.5,MAX(0,MIN((($Y271+$AJ271+AA271)*'Retirement Planning'!$J$44)-$G271-$X271,L271)),0))</f>
        <v>0</v>
      </c>
      <c r="N271" s="57">
        <f ca="1">(N270-O270)*(1+'Retirement Planning'!$J$23/12)</f>
        <v>0</v>
      </c>
      <c r="O271" s="59">
        <f ca="1">IF(B271&gt;59.5,MAX(0,MIN((AA271+$Y271+$AJ271)*(IF(D271&lt;(MIN(E259:E270)+1),1,'Retirement Planning'!$J$44))-M271-$G271-$X271-(IF(D271&lt;(MIN(E259:E270)+1),D271,0)),N271)),0)</f>
        <v>0</v>
      </c>
      <c r="P271" s="57">
        <f t="shared" si="125"/>
        <v>0</v>
      </c>
      <c r="Q271" s="58">
        <f t="shared" si="126"/>
        <v>0</v>
      </c>
      <c r="R271" s="57">
        <f ca="1">(R270-S270-T270)*(1+'Retirement Planning'!$J$23/12)</f>
        <v>670612.6247670775</v>
      </c>
      <c r="S271" s="58">
        <f t="shared" ca="1" si="127"/>
        <v>808.33333333333337</v>
      </c>
      <c r="T271" s="273">
        <f t="shared" ca="1" si="114"/>
        <v>2.2737367544323206E-13</v>
      </c>
      <c r="U271" s="57">
        <f ca="1">(U270-V270)*(1+'Retirement Planning'!$J$23/12)</f>
        <v>464440.41152986116</v>
      </c>
      <c r="V271" s="24">
        <f ca="1">IF(AND($B$10&lt;55,B271&lt;59.5),MIN(U271,MAX(0,(Y271+AA271+AJ271-G271)*'Retirement Planning'!$J$45)),IF(B271&lt;59.5,(MIN(U271,MAX(0,((Y271+AA271+AJ271)-G271-M271)*'Retirement Planning'!$J$45))),MIN(U271,MAX(0,(Y271+AA271+AJ271-G271-M271-K271-X271)*'Retirement Planning'!$J$45))))</f>
        <v>1198.6390244623458</v>
      </c>
      <c r="W271" s="7">
        <f t="shared" ca="1" si="115"/>
        <v>3117157.4563523615</v>
      </c>
      <c r="X271" s="7">
        <f>(IF(B271&gt;'Retirement Planning'!$J$34,IF('Retirement Planning'!$J$34=70,'Retirement Planning'!$J$37/12,IF('Retirement Planning'!$J$34=67,'Retirement Planning'!$J$36/12,'Retirement Planning'!$J$35/12)),0))*'Retirement Planning'!$J$38</f>
        <v>1213.6000000000001</v>
      </c>
      <c r="Y271" s="7">
        <f ca="1">'Retirement Planning'!$F$35*((1+'Retirement Planning'!$J$24)^(YEAR('Projected Retirement Drawdown'!C271)-YEAR(TODAY())))</f>
        <v>10691.596606809333</v>
      </c>
      <c r="Z271" s="7">
        <f ca="1">G271+M271+O271+0.85*X271+V271*'Retirement Planning'!$J$46+T271</f>
        <v>11585.879767968023</v>
      </c>
      <c r="AA271" s="7">
        <f ca="1">IF(MONTH(C271)=1,(((MIN(MAX(0,((SUM(Z259:Z270)-'Retirement Planning'!$I$53-'Retirement Planning'!$I$54)-'Retirement Planning'!$J$51)*'Retirement Planning'!$I$52))))+(MIN(MAX(0,((SUM(Z259:Z270)-'Retirement Planning'!$I$53-'Retirement Planning'!$I$54)-'Retirement Planning'!$J$50)*'Retirement Planning'!$I$51),('Retirement Planning'!$J$51-'Retirement Planning'!$J$50)*'Retirement Planning'!$I$51))+(MIN(MAX(0,((SUM(Z259:Z270)-'Retirement Planning'!$I$53-'Retirement Planning'!$I$54)-'Retirement Planning'!$J$49)*'Retirement Planning'!$I$50),('Retirement Planning'!$J$50-'Retirement Planning'!$J$49)*'Retirement Planning'!$I$50)+MIN(MAX(0,((SUM(Z259:Z270)-'Retirement Planning'!$I$53-'Retirement Planning'!$I$54)-'Retirement Planning'!$J$48)*'Retirement Planning'!$I$49),('Retirement Planning'!$J$49-'Retirement Planning'!$J$48)*'Retirement Planning'!$I$49)+MIN(((SUM(Z259:Z270)-'Retirement Planning'!$I$53-'Retirement Planning'!$I$54))*'Retirement Planning'!$I$48,('Retirement Planning'!$J$48)*'Retirement Planning'!$I$48))+(IF((SUM(Z259:Z270)-'Retirement Planning'!$I$54-'Retirement Planning'!$I$61)&gt;'Retirement Planning'!$J$59,(SUM(Z259:Z270)-'Retirement Planning'!$I$54-'Retirement Planning'!$I$61-'Retirement Planning'!$J$59)*'Retirement Planning'!$I$60+'Retirement Planning'!$K$59,IF((SUM(Z259:Z270)-'Retirement Planning'!$I$54-'Retirement Planning'!$I$61)&gt;'Retirement Planning'!$J$58,(SUM(Z259:Z270)-'Retirement Planning'!$I$54-'Retirement Planning'!$I$61-'Retirement Planning'!$J$58)*'Retirement Planning'!$I$59+'Retirement Planning'!$K$58,IF((SUM(Z259:Z270)-'Retirement Planning'!$I$54-'Retirement Planning'!$I$61)&gt;'Retirement Planning'!$J$57,(SUM(Z259:Z270)-'Retirement Planning'!$I$54-'Retirement Planning'!$I$61-'Retirement Planning'!$J$57)*'Retirement Planning'!$I$58+'Retirement Planning'!$K$57,IF((SUM(Z259:Z270)-'Retirement Planning'!$I$54-'Retirement Planning'!$I$61)&gt;'Retirement Planning'!$J$56,(SUM(Z259:Z270)-'Retirement Planning'!$I$54-'Retirement Planning'!$I$61-'Retirement Planning'!$J$56)*'Retirement Planning'!$I$57+'Retirement Planning'!$K$56,(SUM(Z259:Z270)-'Retirement Planning'!$I$54-'Retirement Planning'!$I$61)*'Retirement Planning'!$I$56))))))/12,AA270)</f>
        <v>2706.1420407384862</v>
      </c>
      <c r="AB271" s="104">
        <f t="shared" ca="1" si="106"/>
        <v>0.24243213011639636</v>
      </c>
      <c r="AC271" s="7">
        <f>IF(B271&lt;65,'Retirement Planning'!$J$28,0)</f>
        <v>0</v>
      </c>
      <c r="AD271" s="7">
        <f>IF(B271&lt;65,'Retirement Planning'!$J$29/12,0)</f>
        <v>0</v>
      </c>
      <c r="AE271" s="22">
        <f>'Retirement Planning'!$J$31/12</f>
        <v>58.333333333333336</v>
      </c>
      <c r="AF271" s="22">
        <f>'Retirement Planning'!$J$32/12</f>
        <v>66.666666666666671</v>
      </c>
      <c r="AG271" s="7">
        <f>IF($B271&gt;64.9,'Retirement Planning'!$J$39/12,0)</f>
        <v>183.33333333333334</v>
      </c>
      <c r="AH271" s="7">
        <f>IF($B271&gt;64.9,'Retirement Planning'!$J$40/12,0)</f>
        <v>258.33333333333331</v>
      </c>
      <c r="AI271" s="7">
        <f>IF($B271&gt;64.9,'Retirement Planning'!$J$41/12,0)</f>
        <v>558.33333333333337</v>
      </c>
      <c r="AJ271" s="7">
        <f t="shared" ca="1" si="116"/>
        <v>316.66666666666663</v>
      </c>
      <c r="AK271" s="3" t="str">
        <f t="shared" ca="1" si="117"/>
        <v>N/A</v>
      </c>
      <c r="AL271" s="6" t="str">
        <f t="shared" ca="1" si="118"/>
        <v>N/A</v>
      </c>
      <c r="AM271" s="7">
        <f t="shared" ca="1" si="119"/>
        <v>1.1368683772161603E-12</v>
      </c>
      <c r="AN271" s="7">
        <f t="shared" ca="1" si="120"/>
        <v>14522.73864754782</v>
      </c>
      <c r="AO271" s="7">
        <f t="shared" si="121"/>
        <v>1125</v>
      </c>
    </row>
    <row r="272" spans="1:41" x14ac:dyDescent="0.2">
      <c r="A272">
        <f t="shared" si="122"/>
        <v>50</v>
      </c>
      <c r="B272" s="5">
        <f t="shared" si="123"/>
        <v>78.099999999999994</v>
      </c>
      <c r="C272" s="56">
        <f t="shared" si="124"/>
        <v>54393</v>
      </c>
      <c r="D272" s="57">
        <f ca="1">IF(AND(B271&lt;59.5,OR(B272&gt;59.5,B272=59.5)),(D271-E271+J271-K271)*(1+'Retirement Planning'!$J$23/12),(D271-E271)*(1+'Retirement Planning'!$J$23/12))</f>
        <v>566209.01793189684</v>
      </c>
      <c r="E272" s="58">
        <f t="shared" ca="1" si="111"/>
        <v>1407.0979852384062</v>
      </c>
      <c r="F272" s="57">
        <f ca="1">IF(AND(OR(B272&gt;59.5,B272=59.5),B271&lt;59.5),(F271-G271+L271-M271+N271-O271)*(1+'Retirement Planning'!$J$23/12),(F271-G271)*(1+'Retirement Planning'!$J$23/12))</f>
        <v>1418553.0851312808</v>
      </c>
      <c r="G272" s="58">
        <f ca="1">IF(AND($B$10&lt;55,B272&lt;59.5),'Retirement Planning'!$J$25,IF(OR(B272&gt;59.5,B272=59.5),MAX(0,MIN(F272,IF(D272&lt;2500,((Y272+AJ272+AA272))-X272,((Y272+AJ272+AA272)*'Retirement Planning'!$J$44)-X272))),0))</f>
        <v>9895.0683045137339</v>
      </c>
      <c r="H272" s="255">
        <f ca="1">IF(MONTH(C272)=1,IF(B272&gt;69.5,F272/(INDEX('Retirement Planning'!D$1:D$264,(160+INT(B272))))/12,0),IF(F272=0,0,H271))</f>
        <v>9302.3524026218111</v>
      </c>
      <c r="I272" s="262">
        <f t="shared" ca="1" si="112"/>
        <v>0</v>
      </c>
      <c r="J272" s="254">
        <f ca="1">IF(AND(B271&lt;59.5,OR(B272=59.5,B272&gt;59.5)),0,(J271-K271)*(1+'Retirement Planning'!$J$23/12))</f>
        <v>0</v>
      </c>
      <c r="K272" s="58">
        <f t="shared" ca="1" si="113"/>
        <v>0</v>
      </c>
      <c r="L272" s="57">
        <f>IF(AND(OR(B272&gt;59.5,B272=59.5),B271&lt;59.5),0,(L271-M271)*(1+'Retirement Planning'!$J$23/12))</f>
        <v>0</v>
      </c>
      <c r="M272" s="59">
        <f>IF(AND($B$10&lt;55,B272&lt;59.5),0,IF(B272&lt;59.5,MAX(0,MIN((($Y272+$AJ272+AA272)*'Retirement Planning'!$J$44)-$G272-$X272,L272)),0))</f>
        <v>0</v>
      </c>
      <c r="N272" s="57">
        <f ca="1">(N271-O271)*(1+'Retirement Planning'!$J$23/12)</f>
        <v>0</v>
      </c>
      <c r="O272" s="59">
        <f ca="1">IF(B272&gt;59.5,MAX(0,MIN((AA272+$Y272+$AJ272)*(IF(D272&lt;(MIN(E260:E271)+1),1,'Retirement Planning'!$J$44))-M272-$G272-$X272-(IF(D272&lt;(MIN(E260:E271)+1),D272,0)),N272)),0)</f>
        <v>0</v>
      </c>
      <c r="P272" s="57">
        <f t="shared" si="125"/>
        <v>0</v>
      </c>
      <c r="Q272" s="58">
        <f t="shared" si="126"/>
        <v>0</v>
      </c>
      <c r="R272" s="57">
        <f ca="1">(R271-S271-T271)*(1+'Retirement Planning'!$J$23/12)</f>
        <v>674548.73849806644</v>
      </c>
      <c r="S272" s="58">
        <f t="shared" ca="1" si="127"/>
        <v>808.33333333333337</v>
      </c>
      <c r="T272" s="273">
        <f t="shared" ca="1" si="114"/>
        <v>2.2737367544323206E-13</v>
      </c>
      <c r="U272" s="57">
        <f ca="1">(U271-V271)*(1+'Retirement Planning'!$J$23/12)</f>
        <v>466523.06839397876</v>
      </c>
      <c r="V272" s="24">
        <f ca="1">IF(AND($B$10&lt;55,B272&lt;59.5),MIN(U272,MAX(0,(Y272+AA272+AJ272-G272)*'Retirement Planning'!$J$45)),IF(B272&lt;59.5,(MIN(U272,MAX(0,((Y272+AA272+AJ272)-G272-M272)*'Retirement Planning'!$J$45))),MIN(U272,MAX(0,(Y272+AA272+AJ272-G272-M272-K272-X272)*'Retirement Planning'!$J$45))))</f>
        <v>1198.6390244623458</v>
      </c>
      <c r="W272" s="7">
        <f t="shared" ca="1" si="115"/>
        <v>3125833.9099552231</v>
      </c>
      <c r="X272" s="7">
        <f>(IF(B272&gt;'Retirement Planning'!$J$34,IF('Retirement Planning'!$J$34=70,'Retirement Planning'!$J$37/12,IF('Retirement Planning'!$J$34=67,'Retirement Planning'!$J$36/12,'Retirement Planning'!$J$35/12)),0))*'Retirement Planning'!$J$38</f>
        <v>1213.6000000000001</v>
      </c>
      <c r="Y272" s="7">
        <f ca="1">'Retirement Planning'!$F$35*((1+'Retirement Planning'!$J$24)^(YEAR('Projected Retirement Drawdown'!C272)-YEAR(TODAY())))</f>
        <v>10691.596606809333</v>
      </c>
      <c r="Z272" s="7">
        <f ca="1">G272+M272+O272+0.85*X272+V272*'Retirement Planning'!$J$46+T272</f>
        <v>11585.879767968023</v>
      </c>
      <c r="AA272" s="7">
        <f ca="1">IF(MONTH(C272)=1,(((MIN(MAX(0,((SUM(Z260:Z271)-'Retirement Planning'!$I$53-'Retirement Planning'!$I$54)-'Retirement Planning'!$J$51)*'Retirement Planning'!$I$52))))+(MIN(MAX(0,((SUM(Z260:Z271)-'Retirement Planning'!$I$53-'Retirement Planning'!$I$54)-'Retirement Planning'!$J$50)*'Retirement Planning'!$I$51),('Retirement Planning'!$J$51-'Retirement Planning'!$J$50)*'Retirement Planning'!$I$51))+(MIN(MAX(0,((SUM(Z260:Z271)-'Retirement Planning'!$I$53-'Retirement Planning'!$I$54)-'Retirement Planning'!$J$49)*'Retirement Planning'!$I$50),('Retirement Planning'!$J$50-'Retirement Planning'!$J$49)*'Retirement Planning'!$I$50)+MIN(MAX(0,((SUM(Z260:Z271)-'Retirement Planning'!$I$53-'Retirement Planning'!$I$54)-'Retirement Planning'!$J$48)*'Retirement Planning'!$I$49),('Retirement Planning'!$J$49-'Retirement Planning'!$J$48)*'Retirement Planning'!$I$49)+MIN(((SUM(Z260:Z271)-'Retirement Planning'!$I$53-'Retirement Planning'!$I$54))*'Retirement Planning'!$I$48,('Retirement Planning'!$J$48)*'Retirement Planning'!$I$48))+(IF((SUM(Z260:Z271)-'Retirement Planning'!$I$54-'Retirement Planning'!$I$61)&gt;'Retirement Planning'!$J$59,(SUM(Z260:Z271)-'Retirement Planning'!$I$54-'Retirement Planning'!$I$61-'Retirement Planning'!$J$59)*'Retirement Planning'!$I$60+'Retirement Planning'!$K$59,IF((SUM(Z260:Z271)-'Retirement Planning'!$I$54-'Retirement Planning'!$I$61)&gt;'Retirement Planning'!$J$58,(SUM(Z260:Z271)-'Retirement Planning'!$I$54-'Retirement Planning'!$I$61-'Retirement Planning'!$J$58)*'Retirement Planning'!$I$59+'Retirement Planning'!$K$58,IF((SUM(Z260:Z271)-'Retirement Planning'!$I$54-'Retirement Planning'!$I$61)&gt;'Retirement Planning'!$J$57,(SUM(Z260:Z271)-'Retirement Planning'!$I$54-'Retirement Planning'!$I$61-'Retirement Planning'!$J$57)*'Retirement Planning'!$I$58+'Retirement Planning'!$K$57,IF((SUM(Z260:Z271)-'Retirement Planning'!$I$54-'Retirement Planning'!$I$61)&gt;'Retirement Planning'!$J$56,(SUM(Z260:Z271)-'Retirement Planning'!$I$54-'Retirement Planning'!$I$61-'Retirement Planning'!$J$56)*'Retirement Planning'!$I$57+'Retirement Planning'!$K$56,(SUM(Z260:Z271)-'Retirement Planning'!$I$54-'Retirement Planning'!$I$61)*'Retirement Planning'!$I$56))))))/12,AA271)</f>
        <v>2706.1420407384862</v>
      </c>
      <c r="AB272" s="104">
        <f t="shared" ca="1" si="106"/>
        <v>0.24243213011639636</v>
      </c>
      <c r="AC272" s="7">
        <f>IF(B272&lt;65,'Retirement Planning'!$J$28,0)</f>
        <v>0</v>
      </c>
      <c r="AD272" s="7">
        <f>IF(B272&lt;65,'Retirement Planning'!$J$29/12,0)</f>
        <v>0</v>
      </c>
      <c r="AE272" s="22">
        <f>'Retirement Planning'!$J$31/12</f>
        <v>58.333333333333336</v>
      </c>
      <c r="AF272" s="22">
        <f>'Retirement Planning'!$J$32/12</f>
        <v>66.666666666666671</v>
      </c>
      <c r="AG272" s="7">
        <f>IF($B272&gt;64.9,'Retirement Planning'!$J$39/12,0)</f>
        <v>183.33333333333334</v>
      </c>
      <c r="AH272" s="7">
        <f>IF($B272&gt;64.9,'Retirement Planning'!$J$40/12,0)</f>
        <v>258.33333333333331</v>
      </c>
      <c r="AI272" s="7">
        <f>IF($B272&gt;64.9,'Retirement Planning'!$J$41/12,0)</f>
        <v>558.33333333333337</v>
      </c>
      <c r="AJ272" s="7">
        <f t="shared" ca="1" si="116"/>
        <v>316.66666666666663</v>
      </c>
      <c r="AK272" s="3" t="str">
        <f t="shared" ca="1" si="117"/>
        <v>N/A</v>
      </c>
      <c r="AL272" s="6" t="str">
        <f t="shared" ca="1" si="118"/>
        <v>N/A</v>
      </c>
      <c r="AM272" s="7">
        <f t="shared" ca="1" si="119"/>
        <v>1.1368683772161603E-12</v>
      </c>
      <c r="AN272" s="7">
        <f t="shared" ca="1" si="120"/>
        <v>14522.73864754782</v>
      </c>
      <c r="AO272" s="7">
        <f t="shared" si="121"/>
        <v>1125</v>
      </c>
    </row>
    <row r="273" spans="1:41" x14ac:dyDescent="0.2">
      <c r="A273">
        <f t="shared" si="122"/>
        <v>50</v>
      </c>
      <c r="B273" s="5">
        <f t="shared" si="123"/>
        <v>78.2</v>
      </c>
      <c r="C273" s="56">
        <f t="shared" si="124"/>
        <v>54424</v>
      </c>
      <c r="D273" s="57">
        <f ca="1">IF(AND(B272&lt;59.5,OR(B273&gt;59.5,B273=59.5)),(D272-E272+J272-K272)*(1+'Retirement Planning'!$J$23/12),(D272-E272)*(1+'Retirement Planning'!$J$23/12))</f>
        <v>568802.60021294723</v>
      </c>
      <c r="E273" s="58">
        <f t="shared" ca="1" si="111"/>
        <v>1459.4970683496795</v>
      </c>
      <c r="F273" s="57">
        <f ca="1">IF(AND(OR(B273&gt;59.5,B273=59.5),B272&lt;59.5),(F272-G272+L272-M272+N272-O272)*(1+'Retirement Planning'!$J$23/12),(F272-G272)*(1+'Retirement Planning'!$J$23/12))</f>
        <v>1418636.0111126234</v>
      </c>
      <c r="G273" s="58">
        <f ca="1">IF(AND($B$10&lt;55,B273&lt;59.5),'Retirement Planning'!$J$25,IF(OR(B273&gt;59.5,B273=59.5),MAX(0,MIN(F273,IF(D273&lt;2500,((Y273+AJ273+AA273))-X273,((Y273+AJ273+AA273)*'Retirement Planning'!$J$44)-X273))),0))</f>
        <v>10308.745276444846</v>
      </c>
      <c r="H273" s="255">
        <f ca="1">IF(MONTH(C273)=1,IF(B273&gt;69.5,F273/(INDEX('Retirement Planning'!D$1:D$264,(160+INT(B273))))/12,0),IF(F273=0,0,H272))</f>
        <v>9770.2204622081499</v>
      </c>
      <c r="I273" s="262">
        <f t="shared" ca="1" si="112"/>
        <v>0</v>
      </c>
      <c r="J273" s="254">
        <f ca="1">IF(AND(B272&lt;59.5,OR(B273=59.5,B273&gt;59.5)),0,(J272-K272)*(1+'Retirement Planning'!$J$23/12))</f>
        <v>0</v>
      </c>
      <c r="K273" s="58">
        <f t="shared" ca="1" si="113"/>
        <v>0</v>
      </c>
      <c r="L273" s="57">
        <f>IF(AND(OR(B273&gt;59.5,B273=59.5),B272&lt;59.5),0,(L272-M272)*(1+'Retirement Planning'!$J$23/12))</f>
        <v>0</v>
      </c>
      <c r="M273" s="59">
        <f>IF(AND($B$10&lt;55,B273&lt;59.5),0,IF(B273&lt;59.5,MAX(0,MIN((($Y273+$AJ273+AA273)*'Retirement Planning'!$J$44)-$G273-$X273,L273)),0))</f>
        <v>0</v>
      </c>
      <c r="N273" s="57">
        <f ca="1">(N272-O272)*(1+'Retirement Planning'!$J$23/12)</f>
        <v>0</v>
      </c>
      <c r="O273" s="59">
        <f ca="1">IF(B273&gt;59.5,MAX(0,MIN((AA273+$Y273+$AJ273)*(IF(D273&lt;(MIN(E261:E272)+1),1,'Retirement Planning'!$J$44))-M273-$G273-$X273-(IF(D273&lt;(MIN(E261:E272)+1),D273,0)),N273)),0)</f>
        <v>0</v>
      </c>
      <c r="P273" s="57">
        <f t="shared" si="125"/>
        <v>0</v>
      </c>
      <c r="Q273" s="58">
        <f t="shared" si="126"/>
        <v>0</v>
      </c>
      <c r="R273" s="57">
        <f ca="1">(R272-S272-T272)*(1+'Retirement Planning'!$J$23/12)</f>
        <v>678512.73303464986</v>
      </c>
      <c r="S273" s="58">
        <f t="shared" ca="1" si="127"/>
        <v>808.33333333333337</v>
      </c>
      <c r="T273" s="273">
        <f t="shared" ca="1" si="114"/>
        <v>6.8212102632969618E-13</v>
      </c>
      <c r="U273" s="57">
        <f ca="1">(U272-V272)*(1+'Retirement Planning'!$J$23/12)</f>
        <v>468620.47741088382</v>
      </c>
      <c r="V273" s="24">
        <f ca="1">IF(AND($B$10&lt;55,B273&lt;59.5),MIN(U273,MAX(0,(Y273+AA273+AJ273-G273)*'Retirement Planning'!$J$45)),IF(B273&lt;59.5,(MIN(U273,MAX(0,((Y273+AA273+AJ273)-G273-M273)*'Retirement Planning'!$J$45))),MIN(U273,MAX(0,(Y273+AA273+AJ273-G273-M273-K273-X273)*'Retirement Planning'!$J$45))))</f>
        <v>1243.2752804460233</v>
      </c>
      <c r="W273" s="7">
        <f t="shared" ca="1" si="115"/>
        <v>3134571.8217711039</v>
      </c>
      <c r="X273" s="7">
        <f>(IF(B273&gt;'Retirement Planning'!$J$34,IF('Retirement Planning'!$J$34=70,'Retirement Planning'!$J$37/12,IF('Retirement Planning'!$J$34=67,'Retirement Planning'!$J$36/12,'Retirement Planning'!$J$35/12)),0))*'Retirement Planning'!$J$38</f>
        <v>1213.6000000000001</v>
      </c>
      <c r="Y273" s="7">
        <f ca="1">'Retirement Planning'!$F$35*((1+'Retirement Planning'!$J$24)^(YEAR('Projected Retirement Drawdown'!C273)-YEAR(TODAY())))</f>
        <v>11065.802488047659</v>
      </c>
      <c r="Z273" s="7">
        <f ca="1">G273+M273+O273+0.85*X273+V273*'Retirement Planning'!$J$46+T273</f>
        <v>12024.106680690158</v>
      </c>
      <c r="AA273" s="7">
        <f ca="1">IF(MONTH(C273)=1,(((MIN(MAX(0,((SUM(Z261:Z272)-'Retirement Planning'!$I$53-'Retirement Planning'!$I$54)-'Retirement Planning'!$J$51)*'Retirement Planning'!$I$52))))+(MIN(MAX(0,((SUM(Z261:Z272)-'Retirement Planning'!$I$53-'Retirement Planning'!$I$54)-'Retirement Planning'!$J$50)*'Retirement Planning'!$I$51),('Retirement Planning'!$J$51-'Retirement Planning'!$J$50)*'Retirement Planning'!$I$51))+(MIN(MAX(0,((SUM(Z261:Z272)-'Retirement Planning'!$I$53-'Retirement Planning'!$I$54)-'Retirement Planning'!$J$49)*'Retirement Planning'!$I$50),('Retirement Planning'!$J$50-'Retirement Planning'!$J$49)*'Retirement Planning'!$I$50)+MIN(MAX(0,((SUM(Z261:Z272)-'Retirement Planning'!$I$53-'Retirement Planning'!$I$54)-'Retirement Planning'!$J$48)*'Retirement Planning'!$I$49),('Retirement Planning'!$J$49-'Retirement Planning'!$J$48)*'Retirement Planning'!$I$49)+MIN(((SUM(Z261:Z272)-'Retirement Planning'!$I$53-'Retirement Planning'!$I$54))*'Retirement Planning'!$I$48,('Retirement Planning'!$J$48)*'Retirement Planning'!$I$48))+(IF((SUM(Z261:Z272)-'Retirement Planning'!$I$54-'Retirement Planning'!$I$61)&gt;'Retirement Planning'!$J$59,(SUM(Z261:Z272)-'Retirement Planning'!$I$54-'Retirement Planning'!$I$61-'Retirement Planning'!$J$59)*'Retirement Planning'!$I$60+'Retirement Planning'!$K$59,IF((SUM(Z261:Z272)-'Retirement Planning'!$I$54-'Retirement Planning'!$I$61)&gt;'Retirement Planning'!$J$58,(SUM(Z261:Z272)-'Retirement Planning'!$I$54-'Retirement Planning'!$I$61-'Retirement Planning'!$J$58)*'Retirement Planning'!$I$59+'Retirement Planning'!$K$58,IF((SUM(Z261:Z272)-'Retirement Planning'!$I$54-'Retirement Planning'!$I$61)&gt;'Retirement Planning'!$J$57,(SUM(Z261:Z272)-'Retirement Planning'!$I$54-'Retirement Planning'!$I$61-'Retirement Planning'!$J$57)*'Retirement Planning'!$I$58+'Retirement Planning'!$K$57,IF((SUM(Z261:Z272)-'Retirement Planning'!$I$54-'Retirement Planning'!$I$61)&gt;'Retirement Planning'!$J$56,(SUM(Z261:Z272)-'Retirement Planning'!$I$54-'Retirement Planning'!$I$61-'Retirement Planning'!$J$56)*'Retirement Planning'!$I$57+'Retirement Planning'!$K$56,(SUM(Z261:Z272)-'Retirement Planning'!$I$54-'Retirement Planning'!$I$61)*'Retirement Planning'!$I$56))))))/12,AA272)</f>
        <v>2842.6484705262251</v>
      </c>
      <c r="AB273" s="104">
        <f t="shared" ref="AB273" ca="1" si="128">SUM(AA273:AA284)/SUM(Z261:Z272)</f>
        <v>0.24535456326634916</v>
      </c>
      <c r="AC273" s="7">
        <f>IF(B273&lt;65,'Retirement Planning'!$J$28,0)</f>
        <v>0</v>
      </c>
      <c r="AD273" s="7">
        <f>IF(B273&lt;65,'Retirement Planning'!$J$29/12,0)</f>
        <v>0</v>
      </c>
      <c r="AE273" s="22">
        <f>'Retirement Planning'!$J$31/12</f>
        <v>58.333333333333336</v>
      </c>
      <c r="AF273" s="22">
        <f>'Retirement Planning'!$J$32/12</f>
        <v>66.666666666666671</v>
      </c>
      <c r="AG273" s="7">
        <f>IF($B273&gt;64.9,'Retirement Planning'!$J$39/12,0)</f>
        <v>183.33333333333334</v>
      </c>
      <c r="AH273" s="7">
        <f>IF($B273&gt;64.9,'Retirement Planning'!$J$40/12,0)</f>
        <v>258.33333333333331</v>
      </c>
      <c r="AI273" s="7">
        <f>IF($B273&gt;64.9,'Retirement Planning'!$J$41/12,0)</f>
        <v>558.33333333333337</v>
      </c>
      <c r="AJ273" s="7">
        <f t="shared" ca="1" si="116"/>
        <v>316.66666666666663</v>
      </c>
      <c r="AK273" s="3" t="str">
        <f t="shared" ca="1" si="117"/>
        <v>N/A</v>
      </c>
      <c r="AL273" s="6" t="str">
        <f t="shared" ca="1" si="118"/>
        <v>N/A</v>
      </c>
      <c r="AM273" s="7">
        <f t="shared" ca="1" si="119"/>
        <v>1.1368683772161603E-12</v>
      </c>
      <c r="AN273" s="7">
        <f t="shared" ca="1" si="120"/>
        <v>15033.450958573883</v>
      </c>
      <c r="AO273" s="7">
        <f t="shared" si="121"/>
        <v>1125</v>
      </c>
    </row>
    <row r="274" spans="1:41" x14ac:dyDescent="0.2">
      <c r="A274">
        <f t="shared" si="122"/>
        <v>50</v>
      </c>
      <c r="B274" s="5">
        <f t="shared" si="123"/>
        <v>78.3</v>
      </c>
      <c r="C274" s="56">
        <f t="shared" si="124"/>
        <v>54455</v>
      </c>
      <c r="D274" s="57">
        <f ca="1">IF(AND(B273&lt;59.5,OR(B274&gt;59.5,B274=59.5)),(D273-E273+J273-K273)*(1+'Retirement Planning'!$J$23/12),(D273-E273)*(1+'Retirement Planning'!$J$23/12))</f>
        <v>571361.78345853835</v>
      </c>
      <c r="E274" s="58">
        <f t="shared" ca="1" si="111"/>
        <v>1459.4970683496795</v>
      </c>
      <c r="F274" s="57">
        <f ca="1">IF(AND(OR(B274&gt;59.5,B274=59.5),B273&lt;59.5),(F273-G273+L273-M273+N273-O273)*(1+'Retirement Planning'!$J$23/12),(F273-G273)*(1+'Retirement Planning'!$J$23/12))</f>
        <v>1418302.9173025182</v>
      </c>
      <c r="G274" s="58">
        <f ca="1">IF(AND($B$10&lt;55,B274&lt;59.5),'Retirement Planning'!$J$25,IF(OR(B274&gt;59.5,B274=59.5),MAX(0,MIN(F274,IF(D274&lt;2500,((Y274+AJ274+AA274))-X274,((Y274+AJ274+AA274)*'Retirement Planning'!$J$44)-X274))),0))</f>
        <v>10308.745276444846</v>
      </c>
      <c r="H274" s="255">
        <f ca="1">IF(MONTH(C274)=1,IF(B274&gt;69.5,F274/(INDEX('Retirement Planning'!D$1:D$264,(160+INT(B274))))/12,0),IF(F274=0,0,H273))</f>
        <v>9770.2204622081499</v>
      </c>
      <c r="I274" s="262">
        <f t="shared" ca="1" si="112"/>
        <v>0</v>
      </c>
      <c r="J274" s="254">
        <f ca="1">IF(AND(B273&lt;59.5,OR(B274=59.5,B274&gt;59.5)),0,(J273-K273)*(1+'Retirement Planning'!$J$23/12))</f>
        <v>0</v>
      </c>
      <c r="K274" s="58">
        <f t="shared" ca="1" si="113"/>
        <v>0</v>
      </c>
      <c r="L274" s="57">
        <f>IF(AND(OR(B274&gt;59.5,B274=59.5),B273&lt;59.5),0,(L273-M273)*(1+'Retirement Planning'!$J$23/12))</f>
        <v>0</v>
      </c>
      <c r="M274" s="59">
        <f>IF(AND($B$10&lt;55,B274&lt;59.5),0,IF(B274&lt;59.5,MAX(0,MIN((($Y274+$AJ274+AA274)*'Retirement Planning'!$J$44)-$G274-$X274,L274)),0))</f>
        <v>0</v>
      </c>
      <c r="N274" s="57">
        <f ca="1">(N273-O273)*(1+'Retirement Planning'!$J$23/12)</f>
        <v>0</v>
      </c>
      <c r="O274" s="59">
        <f ca="1">IF(B274&gt;59.5,MAX(0,MIN((AA274+$Y274+$AJ274)*(IF(D274&lt;(MIN(E262:E273)+1),1,'Retirement Planning'!$J$44))-M274-$G274-$X274-(IF(D274&lt;(MIN(E262:E273)+1),D274,0)),N274)),0)</f>
        <v>0</v>
      </c>
      <c r="P274" s="57">
        <f t="shared" si="125"/>
        <v>0</v>
      </c>
      <c r="Q274" s="58">
        <f t="shared" si="126"/>
        <v>0</v>
      </c>
      <c r="R274" s="57">
        <f ca="1">(R273-S273-T273)*(1+'Retirement Planning'!$J$23/12)</f>
        <v>682504.80586586753</v>
      </c>
      <c r="S274" s="58">
        <f t="shared" ca="1" si="127"/>
        <v>808.33333333333337</v>
      </c>
      <c r="T274" s="273">
        <f t="shared" ca="1" si="114"/>
        <v>6.8212102632969618E-13</v>
      </c>
      <c r="U274" s="57">
        <f ca="1">(U273-V273)*(1+'Retirement Planning'!$J$23/12)</f>
        <v>470687.79064552835</v>
      </c>
      <c r="V274" s="24">
        <f ca="1">IF(AND($B$10&lt;55,B274&lt;59.5),MIN(U274,MAX(0,(Y274+AA274+AJ274-G274)*'Retirement Planning'!$J$45)),IF(B274&lt;59.5,(MIN(U274,MAX(0,((Y274+AA274+AJ274)-G274-M274)*'Retirement Planning'!$J$45))),MIN(U274,MAX(0,(Y274+AA274+AJ274-G274-M274-K274-X274)*'Retirement Planning'!$J$45))))</f>
        <v>1243.2752804460233</v>
      </c>
      <c r="W274" s="7">
        <f t="shared" ca="1" si="115"/>
        <v>3142857.2972724522</v>
      </c>
      <c r="X274" s="7">
        <f>(IF(B274&gt;'Retirement Planning'!$J$34,IF('Retirement Planning'!$J$34=70,'Retirement Planning'!$J$37/12,IF('Retirement Planning'!$J$34=67,'Retirement Planning'!$J$36/12,'Retirement Planning'!$J$35/12)),0))*'Retirement Planning'!$J$38</f>
        <v>1213.6000000000001</v>
      </c>
      <c r="Y274" s="7">
        <f ca="1">'Retirement Planning'!$F$35*((1+'Retirement Planning'!$J$24)^(YEAR('Projected Retirement Drawdown'!C274)-YEAR(TODAY())))</f>
        <v>11065.802488047659</v>
      </c>
      <c r="Z274" s="7">
        <f ca="1">G274+M274+O274+0.85*X274+V274*'Retirement Planning'!$J$46+T274</f>
        <v>12024.106680690158</v>
      </c>
      <c r="AA274" s="7">
        <f ca="1">IF(MONTH(C274)=1,(((MIN(MAX(0,((SUM(Z262:Z273)-'Retirement Planning'!$I$53-'Retirement Planning'!$I$54)-'Retirement Planning'!$J$51)*'Retirement Planning'!$I$52))))+(MIN(MAX(0,((SUM(Z262:Z273)-'Retirement Planning'!$I$53-'Retirement Planning'!$I$54)-'Retirement Planning'!$J$50)*'Retirement Planning'!$I$51),('Retirement Planning'!$J$51-'Retirement Planning'!$J$50)*'Retirement Planning'!$I$51))+(MIN(MAX(0,((SUM(Z262:Z273)-'Retirement Planning'!$I$53-'Retirement Planning'!$I$54)-'Retirement Planning'!$J$49)*'Retirement Planning'!$I$50),('Retirement Planning'!$J$50-'Retirement Planning'!$J$49)*'Retirement Planning'!$I$50)+MIN(MAX(0,((SUM(Z262:Z273)-'Retirement Planning'!$I$53-'Retirement Planning'!$I$54)-'Retirement Planning'!$J$48)*'Retirement Planning'!$I$49),('Retirement Planning'!$J$49-'Retirement Planning'!$J$48)*'Retirement Planning'!$I$49)+MIN(((SUM(Z262:Z273)-'Retirement Planning'!$I$53-'Retirement Planning'!$I$54))*'Retirement Planning'!$I$48,('Retirement Planning'!$J$48)*'Retirement Planning'!$I$48))+(IF((SUM(Z262:Z273)-'Retirement Planning'!$I$54-'Retirement Planning'!$I$61)&gt;'Retirement Planning'!$J$59,(SUM(Z262:Z273)-'Retirement Planning'!$I$54-'Retirement Planning'!$I$61-'Retirement Planning'!$J$59)*'Retirement Planning'!$I$60+'Retirement Planning'!$K$59,IF((SUM(Z262:Z273)-'Retirement Planning'!$I$54-'Retirement Planning'!$I$61)&gt;'Retirement Planning'!$J$58,(SUM(Z262:Z273)-'Retirement Planning'!$I$54-'Retirement Planning'!$I$61-'Retirement Planning'!$J$58)*'Retirement Planning'!$I$59+'Retirement Planning'!$K$58,IF((SUM(Z262:Z273)-'Retirement Planning'!$I$54-'Retirement Planning'!$I$61)&gt;'Retirement Planning'!$J$57,(SUM(Z262:Z273)-'Retirement Planning'!$I$54-'Retirement Planning'!$I$61-'Retirement Planning'!$J$57)*'Retirement Planning'!$I$58+'Retirement Planning'!$K$57,IF((SUM(Z262:Z273)-'Retirement Planning'!$I$54-'Retirement Planning'!$I$61)&gt;'Retirement Planning'!$J$56,(SUM(Z262:Z273)-'Retirement Planning'!$I$54-'Retirement Planning'!$I$61-'Retirement Planning'!$J$56)*'Retirement Planning'!$I$57+'Retirement Planning'!$K$56,(SUM(Z262:Z273)-'Retirement Planning'!$I$54-'Retirement Planning'!$I$61)*'Retirement Planning'!$I$56))))))/12,AA273)</f>
        <v>2842.6484705262251</v>
      </c>
      <c r="AB274" s="104">
        <f t="shared" ref="AB274:AB337" ca="1" si="129">AB273</f>
        <v>0.24535456326634916</v>
      </c>
      <c r="AC274" s="7">
        <f>IF(B274&lt;65,'Retirement Planning'!$J$28,0)</f>
        <v>0</v>
      </c>
      <c r="AD274" s="7">
        <f>IF(B274&lt;65,'Retirement Planning'!$J$29/12,0)</f>
        <v>0</v>
      </c>
      <c r="AE274" s="22">
        <f>'Retirement Planning'!$J$31/12</f>
        <v>58.333333333333336</v>
      </c>
      <c r="AF274" s="22">
        <f>'Retirement Planning'!$J$32/12</f>
        <v>66.666666666666671</v>
      </c>
      <c r="AG274" s="7">
        <f>IF($B274&gt;64.9,'Retirement Planning'!$J$39/12,0)</f>
        <v>183.33333333333334</v>
      </c>
      <c r="AH274" s="7">
        <f>IF($B274&gt;64.9,'Retirement Planning'!$J$40/12,0)</f>
        <v>258.33333333333331</v>
      </c>
      <c r="AI274" s="7">
        <f>IF($B274&gt;64.9,'Retirement Planning'!$J$41/12,0)</f>
        <v>558.33333333333337</v>
      </c>
      <c r="AJ274" s="7">
        <f t="shared" ca="1" si="116"/>
        <v>316.66666666666663</v>
      </c>
      <c r="AK274" s="3" t="str">
        <f t="shared" ca="1" si="117"/>
        <v>N/A</v>
      </c>
      <c r="AL274" s="6" t="str">
        <f t="shared" ca="1" si="118"/>
        <v>N/A</v>
      </c>
      <c r="AM274" s="7">
        <f t="shared" ca="1" si="119"/>
        <v>1.1368683772161603E-12</v>
      </c>
      <c r="AN274" s="7">
        <f t="shared" ca="1" si="120"/>
        <v>15033.450958573883</v>
      </c>
      <c r="AO274" s="7">
        <f t="shared" si="121"/>
        <v>1125</v>
      </c>
    </row>
    <row r="275" spans="1:41" x14ac:dyDescent="0.2">
      <c r="A275">
        <f t="shared" si="122"/>
        <v>50</v>
      </c>
      <c r="B275" s="5">
        <f t="shared" si="123"/>
        <v>78.400000000000006</v>
      </c>
      <c r="C275" s="56">
        <f t="shared" si="124"/>
        <v>54483</v>
      </c>
      <c r="D275" s="57">
        <f ca="1">IF(AND(B274&lt;59.5,OR(B275&gt;59.5,B275=59.5)),(D274-E274+J274-K274)*(1+'Retirement Planning'!$J$23/12),(D274-E274)*(1+'Retirement Planning'!$J$23/12))</f>
        <v>573939.09425211907</v>
      </c>
      <c r="E275" s="58">
        <f t="shared" ca="1" si="111"/>
        <v>1459.4970683496795</v>
      </c>
      <c r="F275" s="57">
        <f ca="1">IF(AND(OR(B275&gt;59.5,B275=59.5),B274&lt;59.5),(F274-G274+L274-M274+N274-O274)*(1+'Retirement Planning'!$J$23/12),(F274-G274)*(1+'Retirement Planning'!$J$23/12))</f>
        <v>1417967.4640779246</v>
      </c>
      <c r="G275" s="58">
        <f ca="1">IF(AND($B$10&lt;55,B275&lt;59.5),'Retirement Planning'!$J$25,IF(OR(B275&gt;59.5,B275=59.5),MAX(0,MIN(F275,IF(D275&lt;2500,((Y275+AJ275+AA275))-X275,((Y275+AJ275+AA275)*'Retirement Planning'!$J$44)-X275))),0))</f>
        <v>10308.745276444846</v>
      </c>
      <c r="H275" s="255">
        <f ca="1">IF(MONTH(C275)=1,IF(B275&gt;69.5,F275/(INDEX('Retirement Planning'!D$1:D$264,(160+INT(B275))))/12,0),IF(F275=0,0,H274))</f>
        <v>9770.2204622081499</v>
      </c>
      <c r="I275" s="262">
        <f t="shared" ca="1" si="112"/>
        <v>0</v>
      </c>
      <c r="J275" s="254">
        <f ca="1">IF(AND(B274&lt;59.5,OR(B275=59.5,B275&gt;59.5)),0,(J274-K274)*(1+'Retirement Planning'!$J$23/12))</f>
        <v>0</v>
      </c>
      <c r="K275" s="58">
        <f t="shared" ca="1" si="113"/>
        <v>0</v>
      </c>
      <c r="L275" s="57">
        <f>IF(AND(OR(B275&gt;59.5,B275=59.5),B274&lt;59.5),0,(L274-M274)*(1+'Retirement Planning'!$J$23/12))</f>
        <v>0</v>
      </c>
      <c r="M275" s="59">
        <f>IF(AND($B$10&lt;55,B275&lt;59.5),0,IF(B275&lt;59.5,MAX(0,MIN((($Y275+$AJ275+AA275)*'Retirement Planning'!$J$44)-$G275-$X275,L275)),0))</f>
        <v>0</v>
      </c>
      <c r="N275" s="57">
        <f ca="1">(N274-O274)*(1+'Retirement Planning'!$J$23/12)</f>
        <v>0</v>
      </c>
      <c r="O275" s="59">
        <f ca="1">IF(B275&gt;59.5,MAX(0,MIN((AA275+$Y275+$AJ275)*(IF(D275&lt;(MIN(E263:E274)+1),1,'Retirement Planning'!$J$44))-M275-$G275-$X275-(IF(D275&lt;(MIN(E263:E274)+1),D275,0)),N275)),0)</f>
        <v>0</v>
      </c>
      <c r="P275" s="57">
        <f t="shared" si="125"/>
        <v>0</v>
      </c>
      <c r="Q275" s="58">
        <f t="shared" si="126"/>
        <v>0</v>
      </c>
      <c r="R275" s="57">
        <f ca="1">(R274-S274-T274)*(1+'Retirement Planning'!$J$23/12)</f>
        <v>686525.15587963955</v>
      </c>
      <c r="S275" s="58">
        <f t="shared" ca="1" si="127"/>
        <v>808.33333333333337</v>
      </c>
      <c r="T275" s="273">
        <f t="shared" ca="1" si="114"/>
        <v>6.8212102632969618E-13</v>
      </c>
      <c r="U275" s="57">
        <f ca="1">(U274-V274)*(1+'Retirement Planning'!$J$23/12)</f>
        <v>472769.74734891829</v>
      </c>
      <c r="V275" s="24">
        <f ca="1">IF(AND($B$10&lt;55,B275&lt;59.5),MIN(U275,MAX(0,(Y275+AA275+AJ275-G275)*'Retirement Planning'!$J$45)),IF(B275&lt;59.5,(MIN(U275,MAX(0,((Y275+AA275+AJ275)-G275-M275)*'Retirement Planning'!$J$45))),MIN(U275,MAX(0,(Y275+AA275+AJ275-G275-M275-K275-X275)*'Retirement Planning'!$J$45))))</f>
        <v>1243.2752804460233</v>
      </c>
      <c r="W275" s="7">
        <f t="shared" ca="1" si="115"/>
        <v>3151201.4615586014</v>
      </c>
      <c r="X275" s="7">
        <f>(IF(B275&gt;'Retirement Planning'!$J$34,IF('Retirement Planning'!$J$34=70,'Retirement Planning'!$J$37/12,IF('Retirement Planning'!$J$34=67,'Retirement Planning'!$J$36/12,'Retirement Planning'!$J$35/12)),0))*'Retirement Planning'!$J$38</f>
        <v>1213.6000000000001</v>
      </c>
      <c r="Y275" s="7">
        <f ca="1">'Retirement Planning'!$F$35*((1+'Retirement Planning'!$J$24)^(YEAR('Projected Retirement Drawdown'!C275)-YEAR(TODAY())))</f>
        <v>11065.802488047659</v>
      </c>
      <c r="Z275" s="7">
        <f ca="1">G275+M275+O275+0.85*X275+V275*'Retirement Planning'!$J$46+T275</f>
        <v>12024.106680690158</v>
      </c>
      <c r="AA275" s="7">
        <f ca="1">IF(MONTH(C275)=1,(((MIN(MAX(0,((SUM(Z263:Z274)-'Retirement Planning'!$I$53-'Retirement Planning'!$I$54)-'Retirement Planning'!$J$51)*'Retirement Planning'!$I$52))))+(MIN(MAX(0,((SUM(Z263:Z274)-'Retirement Planning'!$I$53-'Retirement Planning'!$I$54)-'Retirement Planning'!$J$50)*'Retirement Planning'!$I$51),('Retirement Planning'!$J$51-'Retirement Planning'!$J$50)*'Retirement Planning'!$I$51))+(MIN(MAX(0,((SUM(Z263:Z274)-'Retirement Planning'!$I$53-'Retirement Planning'!$I$54)-'Retirement Planning'!$J$49)*'Retirement Planning'!$I$50),('Retirement Planning'!$J$50-'Retirement Planning'!$J$49)*'Retirement Planning'!$I$50)+MIN(MAX(0,((SUM(Z263:Z274)-'Retirement Planning'!$I$53-'Retirement Planning'!$I$54)-'Retirement Planning'!$J$48)*'Retirement Planning'!$I$49),('Retirement Planning'!$J$49-'Retirement Planning'!$J$48)*'Retirement Planning'!$I$49)+MIN(((SUM(Z263:Z274)-'Retirement Planning'!$I$53-'Retirement Planning'!$I$54))*'Retirement Planning'!$I$48,('Retirement Planning'!$J$48)*'Retirement Planning'!$I$48))+(IF((SUM(Z263:Z274)-'Retirement Planning'!$I$54-'Retirement Planning'!$I$61)&gt;'Retirement Planning'!$J$59,(SUM(Z263:Z274)-'Retirement Planning'!$I$54-'Retirement Planning'!$I$61-'Retirement Planning'!$J$59)*'Retirement Planning'!$I$60+'Retirement Planning'!$K$59,IF((SUM(Z263:Z274)-'Retirement Planning'!$I$54-'Retirement Planning'!$I$61)&gt;'Retirement Planning'!$J$58,(SUM(Z263:Z274)-'Retirement Planning'!$I$54-'Retirement Planning'!$I$61-'Retirement Planning'!$J$58)*'Retirement Planning'!$I$59+'Retirement Planning'!$K$58,IF((SUM(Z263:Z274)-'Retirement Planning'!$I$54-'Retirement Planning'!$I$61)&gt;'Retirement Planning'!$J$57,(SUM(Z263:Z274)-'Retirement Planning'!$I$54-'Retirement Planning'!$I$61-'Retirement Planning'!$J$57)*'Retirement Planning'!$I$58+'Retirement Planning'!$K$57,IF((SUM(Z263:Z274)-'Retirement Planning'!$I$54-'Retirement Planning'!$I$61)&gt;'Retirement Planning'!$J$56,(SUM(Z263:Z274)-'Retirement Planning'!$I$54-'Retirement Planning'!$I$61-'Retirement Planning'!$J$56)*'Retirement Planning'!$I$57+'Retirement Planning'!$K$56,(SUM(Z263:Z274)-'Retirement Planning'!$I$54-'Retirement Planning'!$I$61)*'Retirement Planning'!$I$56))))))/12,AA274)</f>
        <v>2842.6484705262251</v>
      </c>
      <c r="AB275" s="104">
        <f t="shared" ca="1" si="106"/>
        <v>0.24535456326634916</v>
      </c>
      <c r="AC275" s="7">
        <f>IF(B275&lt;65,'Retirement Planning'!$J$28,0)</f>
        <v>0</v>
      </c>
      <c r="AD275" s="7">
        <f>IF(B275&lt;65,'Retirement Planning'!$J$29/12,0)</f>
        <v>0</v>
      </c>
      <c r="AE275" s="22">
        <f>'Retirement Planning'!$J$31/12</f>
        <v>58.333333333333336</v>
      </c>
      <c r="AF275" s="22">
        <f>'Retirement Planning'!$J$32/12</f>
        <v>66.666666666666671</v>
      </c>
      <c r="AG275" s="7">
        <f>IF($B275&gt;64.9,'Retirement Planning'!$J$39/12,0)</f>
        <v>183.33333333333334</v>
      </c>
      <c r="AH275" s="7">
        <f>IF($B275&gt;64.9,'Retirement Planning'!$J$40/12,0)</f>
        <v>258.33333333333331</v>
      </c>
      <c r="AI275" s="7">
        <f>IF($B275&gt;64.9,'Retirement Planning'!$J$41/12,0)</f>
        <v>558.33333333333337</v>
      </c>
      <c r="AJ275" s="7">
        <f t="shared" ca="1" si="116"/>
        <v>316.66666666666663</v>
      </c>
      <c r="AK275" s="3" t="str">
        <f t="shared" ca="1" si="117"/>
        <v>N/A</v>
      </c>
      <c r="AL275" s="6" t="str">
        <f t="shared" ca="1" si="118"/>
        <v>N/A</v>
      </c>
      <c r="AM275" s="7">
        <f t="shared" ca="1" si="119"/>
        <v>1.1368683772161603E-12</v>
      </c>
      <c r="AN275" s="7">
        <f t="shared" ca="1" si="120"/>
        <v>15033.450958573883</v>
      </c>
      <c r="AO275" s="7">
        <f t="shared" si="121"/>
        <v>1125</v>
      </c>
    </row>
    <row r="276" spans="1:41" x14ac:dyDescent="0.2">
      <c r="A276">
        <f t="shared" si="122"/>
        <v>50</v>
      </c>
      <c r="B276" s="5">
        <f t="shared" si="123"/>
        <v>78.5</v>
      </c>
      <c r="C276" s="56">
        <f t="shared" si="124"/>
        <v>54514</v>
      </c>
      <c r="D276" s="57">
        <f ca="1">IF(AND(B275&lt;59.5,OR(B276&gt;59.5,B276=59.5)),(D275-E275+J275-K275)*(1+'Retirement Planning'!$J$23/12),(D275-E275)*(1+'Retirement Planning'!$J$23/12))</f>
        <v>576534.66099715442</v>
      </c>
      <c r="E276" s="58">
        <f t="shared" ca="1" si="111"/>
        <v>1459.4970683496795</v>
      </c>
      <c r="F276" s="57">
        <f ca="1">IF(AND(OR(B276&gt;59.5,B276=59.5),B275&lt;59.5),(F275-G275+L275-M275+N275-O275)*(1+'Retirement Planning'!$J$23/12),(F275-G275)*(1+'Retirement Planning'!$J$23/12))</f>
        <v>1417629.6347263237</v>
      </c>
      <c r="G276" s="58">
        <f ca="1">IF(AND($B$10&lt;55,B276&lt;59.5),'Retirement Planning'!$J$25,IF(OR(B276&gt;59.5,B276=59.5),MAX(0,MIN(F276,IF(D276&lt;2500,((Y276+AJ276+AA276))-X276,((Y276+AJ276+AA276)*'Retirement Planning'!$J$44)-X276))),0))</f>
        <v>10308.745276444846</v>
      </c>
      <c r="H276" s="255">
        <f ca="1">IF(MONTH(C276)=1,IF(B276&gt;69.5,F276/(INDEX('Retirement Planning'!D$1:D$264,(160+INT(B276))))/12,0),IF(F276=0,0,H275))</f>
        <v>9770.2204622081499</v>
      </c>
      <c r="I276" s="262">
        <f t="shared" ca="1" si="112"/>
        <v>0</v>
      </c>
      <c r="J276" s="254">
        <f ca="1">IF(AND(B275&lt;59.5,OR(B276=59.5,B276&gt;59.5)),0,(J275-K275)*(1+'Retirement Planning'!$J$23/12))</f>
        <v>0</v>
      </c>
      <c r="K276" s="58">
        <f t="shared" ca="1" si="113"/>
        <v>0</v>
      </c>
      <c r="L276" s="57">
        <f>IF(AND(OR(B276&gt;59.5,B276=59.5),B275&lt;59.5),0,(L275-M275)*(1+'Retirement Planning'!$J$23/12))</f>
        <v>0</v>
      </c>
      <c r="M276" s="59">
        <f>IF(AND($B$10&lt;55,B276&lt;59.5),0,IF(B276&lt;59.5,MAX(0,MIN((($Y276+$AJ276+AA276)*'Retirement Planning'!$J$44)-$G276-$X276,L276)),0))</f>
        <v>0</v>
      </c>
      <c r="N276" s="57">
        <f ca="1">(N275-O275)*(1+'Retirement Planning'!$J$23/12)</f>
        <v>0</v>
      </c>
      <c r="O276" s="59">
        <f ca="1">IF(B276&gt;59.5,MAX(0,MIN((AA276+$Y276+$AJ276)*(IF(D276&lt;(MIN(E264:E275)+1),1,'Retirement Planning'!$J$44))-M276-$G276-$X276-(IF(D276&lt;(MIN(E264:E275)+1),D276,0)),N276)),0)</f>
        <v>0</v>
      </c>
      <c r="P276" s="57">
        <f t="shared" si="125"/>
        <v>0</v>
      </c>
      <c r="Q276" s="58">
        <f t="shared" si="126"/>
        <v>0</v>
      </c>
      <c r="R276" s="57">
        <f ca="1">(R275-S275-T275)*(1+'Retirement Planning'!$J$23/12)</f>
        <v>690573.98337267584</v>
      </c>
      <c r="S276" s="58">
        <f t="shared" ca="1" si="127"/>
        <v>808.33333333333337</v>
      </c>
      <c r="T276" s="273">
        <f t="shared" ca="1" si="114"/>
        <v>6.8212102632969618E-13</v>
      </c>
      <c r="U276" s="57">
        <f ca="1">(U275-V275)*(1+'Retirement Planning'!$J$23/12)</f>
        <v>474866.45124562393</v>
      </c>
      <c r="V276" s="24">
        <f ca="1">IF(AND($B$10&lt;55,B276&lt;59.5),MIN(U276,MAX(0,(Y276+AA276+AJ276-G276)*'Retirement Planning'!$J$45)),IF(B276&lt;59.5,(MIN(U276,MAX(0,((Y276+AA276+AJ276)-G276-M276)*'Retirement Planning'!$J$45))),MIN(U276,MAX(0,(Y276+AA276+AJ276-G276-M276-K276-X276)*'Retirement Planning'!$J$45))))</f>
        <v>1243.2752804460233</v>
      </c>
      <c r="W276" s="7">
        <f t="shared" ca="1" si="115"/>
        <v>3159604.7303417781</v>
      </c>
      <c r="X276" s="7">
        <f>(IF(B276&gt;'Retirement Planning'!$J$34,IF('Retirement Planning'!$J$34=70,'Retirement Planning'!$J$37/12,IF('Retirement Planning'!$J$34=67,'Retirement Planning'!$J$36/12,'Retirement Planning'!$J$35/12)),0))*'Retirement Planning'!$J$38</f>
        <v>1213.6000000000001</v>
      </c>
      <c r="Y276" s="7">
        <f ca="1">'Retirement Planning'!$F$35*((1+'Retirement Planning'!$J$24)^(YEAR('Projected Retirement Drawdown'!C276)-YEAR(TODAY())))</f>
        <v>11065.802488047659</v>
      </c>
      <c r="Z276" s="7">
        <f ca="1">G276+M276+O276+0.85*X276+V276*'Retirement Planning'!$J$46+T276</f>
        <v>12024.106680690158</v>
      </c>
      <c r="AA276" s="7">
        <f ca="1">IF(MONTH(C276)=1,(((MIN(MAX(0,((SUM(Z264:Z275)-'Retirement Planning'!$I$53-'Retirement Planning'!$I$54)-'Retirement Planning'!$J$51)*'Retirement Planning'!$I$52))))+(MIN(MAX(0,((SUM(Z264:Z275)-'Retirement Planning'!$I$53-'Retirement Planning'!$I$54)-'Retirement Planning'!$J$50)*'Retirement Planning'!$I$51),('Retirement Planning'!$J$51-'Retirement Planning'!$J$50)*'Retirement Planning'!$I$51))+(MIN(MAX(0,((SUM(Z264:Z275)-'Retirement Planning'!$I$53-'Retirement Planning'!$I$54)-'Retirement Planning'!$J$49)*'Retirement Planning'!$I$50),('Retirement Planning'!$J$50-'Retirement Planning'!$J$49)*'Retirement Planning'!$I$50)+MIN(MAX(0,((SUM(Z264:Z275)-'Retirement Planning'!$I$53-'Retirement Planning'!$I$54)-'Retirement Planning'!$J$48)*'Retirement Planning'!$I$49),('Retirement Planning'!$J$49-'Retirement Planning'!$J$48)*'Retirement Planning'!$I$49)+MIN(((SUM(Z264:Z275)-'Retirement Planning'!$I$53-'Retirement Planning'!$I$54))*'Retirement Planning'!$I$48,('Retirement Planning'!$J$48)*'Retirement Planning'!$I$48))+(IF((SUM(Z264:Z275)-'Retirement Planning'!$I$54-'Retirement Planning'!$I$61)&gt;'Retirement Planning'!$J$59,(SUM(Z264:Z275)-'Retirement Planning'!$I$54-'Retirement Planning'!$I$61-'Retirement Planning'!$J$59)*'Retirement Planning'!$I$60+'Retirement Planning'!$K$59,IF((SUM(Z264:Z275)-'Retirement Planning'!$I$54-'Retirement Planning'!$I$61)&gt;'Retirement Planning'!$J$58,(SUM(Z264:Z275)-'Retirement Planning'!$I$54-'Retirement Planning'!$I$61-'Retirement Planning'!$J$58)*'Retirement Planning'!$I$59+'Retirement Planning'!$K$58,IF((SUM(Z264:Z275)-'Retirement Planning'!$I$54-'Retirement Planning'!$I$61)&gt;'Retirement Planning'!$J$57,(SUM(Z264:Z275)-'Retirement Planning'!$I$54-'Retirement Planning'!$I$61-'Retirement Planning'!$J$57)*'Retirement Planning'!$I$58+'Retirement Planning'!$K$57,IF((SUM(Z264:Z275)-'Retirement Planning'!$I$54-'Retirement Planning'!$I$61)&gt;'Retirement Planning'!$J$56,(SUM(Z264:Z275)-'Retirement Planning'!$I$54-'Retirement Planning'!$I$61-'Retirement Planning'!$J$56)*'Retirement Planning'!$I$57+'Retirement Planning'!$K$56,(SUM(Z264:Z275)-'Retirement Planning'!$I$54-'Retirement Planning'!$I$61)*'Retirement Planning'!$I$56))))))/12,AA275)</f>
        <v>2842.6484705262251</v>
      </c>
      <c r="AB276" s="104">
        <f t="shared" ca="1" si="106"/>
        <v>0.24535456326634916</v>
      </c>
      <c r="AC276" s="7">
        <f>IF(B276&lt;65,'Retirement Planning'!$J$28,0)</f>
        <v>0</v>
      </c>
      <c r="AD276" s="7">
        <f>IF(B276&lt;65,'Retirement Planning'!$J$29/12,0)</f>
        <v>0</v>
      </c>
      <c r="AE276" s="22">
        <f>'Retirement Planning'!$J$31/12</f>
        <v>58.333333333333336</v>
      </c>
      <c r="AF276" s="22">
        <f>'Retirement Planning'!$J$32/12</f>
        <v>66.666666666666671</v>
      </c>
      <c r="AG276" s="7">
        <f>IF($B276&gt;64.9,'Retirement Planning'!$J$39/12,0)</f>
        <v>183.33333333333334</v>
      </c>
      <c r="AH276" s="7">
        <f>IF($B276&gt;64.9,'Retirement Planning'!$J$40/12,0)</f>
        <v>258.33333333333331</v>
      </c>
      <c r="AI276" s="7">
        <f>IF($B276&gt;64.9,'Retirement Planning'!$J$41/12,0)</f>
        <v>558.33333333333337</v>
      </c>
      <c r="AJ276" s="7">
        <f t="shared" ca="1" si="116"/>
        <v>316.66666666666663</v>
      </c>
      <c r="AK276" s="3" t="str">
        <f t="shared" ca="1" si="117"/>
        <v>N/A</v>
      </c>
      <c r="AL276" s="6" t="str">
        <f t="shared" ca="1" si="118"/>
        <v>N/A</v>
      </c>
      <c r="AM276" s="7">
        <f t="shared" ca="1" si="119"/>
        <v>1.1368683772161603E-12</v>
      </c>
      <c r="AN276" s="7">
        <f t="shared" ca="1" si="120"/>
        <v>15033.450958573883</v>
      </c>
      <c r="AO276" s="7">
        <f t="shared" si="121"/>
        <v>1125</v>
      </c>
    </row>
    <row r="277" spans="1:41" x14ac:dyDescent="0.2">
      <c r="A277">
        <f t="shared" si="122"/>
        <v>50</v>
      </c>
      <c r="B277" s="5">
        <f t="shared" si="123"/>
        <v>78.5</v>
      </c>
      <c r="C277" s="56">
        <f t="shared" si="124"/>
        <v>54544</v>
      </c>
      <c r="D277" s="57">
        <f ca="1">IF(AND(B276&lt;59.5,OR(B277&gt;59.5,B277=59.5)),(D276-E276+J276-K276)*(1+'Retirement Planning'!$J$23/12),(D276-E276)*(1+'Retirement Planning'!$J$23/12))</f>
        <v>579148.61300663371</v>
      </c>
      <c r="E277" s="58">
        <f t="shared" ca="1" si="111"/>
        <v>1459.4970683496795</v>
      </c>
      <c r="F277" s="57">
        <f ca="1">IF(AND(OR(B277&gt;59.5,B277=59.5),B276&lt;59.5),(F276-G276+L276-M276+N276-O276)*(1+'Retirement Planning'!$J$23/12),(F276-G276)*(1+'Retirement Planning'!$J$23/12))</f>
        <v>1417289.4124168155</v>
      </c>
      <c r="G277" s="58">
        <f ca="1">IF(AND($B$10&lt;55,B277&lt;59.5),'Retirement Planning'!$J$25,IF(OR(B277&gt;59.5,B277=59.5),MAX(0,MIN(F277,IF(D277&lt;2500,((Y277+AJ277+AA277))-X277,((Y277+AJ277+AA277)*'Retirement Planning'!$J$44)-X277))),0))</f>
        <v>10308.745276444846</v>
      </c>
      <c r="H277" s="255">
        <f ca="1">IF(MONTH(C277)=1,IF(B277&gt;69.5,F277/(INDEX('Retirement Planning'!D$1:D$264,(160+INT(B277))))/12,0),IF(F277=0,0,H276))</f>
        <v>9770.2204622081499</v>
      </c>
      <c r="I277" s="262">
        <f t="shared" ca="1" si="112"/>
        <v>0</v>
      </c>
      <c r="J277" s="254">
        <f ca="1">IF(AND(B276&lt;59.5,OR(B277=59.5,B277&gt;59.5)),0,(J276-K276)*(1+'Retirement Planning'!$J$23/12))</f>
        <v>0</v>
      </c>
      <c r="K277" s="58">
        <f t="shared" ca="1" si="113"/>
        <v>0</v>
      </c>
      <c r="L277" s="57">
        <f>IF(AND(OR(B277&gt;59.5,B277=59.5),B276&lt;59.5),0,(L276-M276)*(1+'Retirement Planning'!$J$23/12))</f>
        <v>0</v>
      </c>
      <c r="M277" s="59">
        <f>IF(AND($B$10&lt;55,B277&lt;59.5),0,IF(B277&lt;59.5,MAX(0,MIN((($Y277+$AJ277+AA277)*'Retirement Planning'!$J$44)-$G277-$X277,L277)),0))</f>
        <v>0</v>
      </c>
      <c r="N277" s="57">
        <f ca="1">(N276-O276)*(1+'Retirement Planning'!$J$23/12)</f>
        <v>0</v>
      </c>
      <c r="O277" s="59">
        <f ca="1">IF(B277&gt;59.5,MAX(0,MIN((AA277+$Y277+$AJ277)*(IF(D277&lt;(MIN(E265:E276)+1),1,'Retirement Planning'!$J$44))-M277-$G277-$X277-(IF(D277&lt;(MIN(E265:E276)+1),D277,0)),N277)),0)</f>
        <v>0</v>
      </c>
      <c r="P277" s="57">
        <f t="shared" si="125"/>
        <v>0</v>
      </c>
      <c r="Q277" s="58">
        <f t="shared" si="126"/>
        <v>0</v>
      </c>
      <c r="R277" s="57">
        <f ca="1">(R276-S276-T276)*(1+'Retirement Planning'!$J$23/12)</f>
        <v>694651.49006045447</v>
      </c>
      <c r="S277" s="58">
        <f t="shared" ca="1" si="127"/>
        <v>808.33333333333337</v>
      </c>
      <c r="T277" s="273">
        <f t="shared" ca="1" si="114"/>
        <v>6.8212102632969618E-13</v>
      </c>
      <c r="U277" s="57">
        <f ca="1">(U276-V276)*(1+'Retirement Planning'!$J$23/12)</f>
        <v>476978.00679493125</v>
      </c>
      <c r="V277" s="24">
        <f ca="1">IF(AND($B$10&lt;55,B277&lt;59.5),MIN(U277,MAX(0,(Y277+AA277+AJ277-G277)*'Retirement Planning'!$J$45)),IF(B277&lt;59.5,(MIN(U277,MAX(0,((Y277+AA277+AJ277)-G277-M277)*'Retirement Planning'!$J$45))),MIN(U277,MAX(0,(Y277+AA277+AJ277-G277-M277-K277-X277)*'Retirement Planning'!$J$45))))</f>
        <v>1243.2752804460233</v>
      </c>
      <c r="W277" s="7">
        <f t="shared" ca="1" si="115"/>
        <v>3168067.5222788351</v>
      </c>
      <c r="X277" s="7">
        <f>(IF(B277&gt;'Retirement Planning'!$J$34,IF('Retirement Planning'!$J$34=70,'Retirement Planning'!$J$37/12,IF('Retirement Planning'!$J$34=67,'Retirement Planning'!$J$36/12,'Retirement Planning'!$J$35/12)),0))*'Retirement Planning'!$J$38</f>
        <v>1213.6000000000001</v>
      </c>
      <c r="Y277" s="7">
        <f ca="1">'Retirement Planning'!$F$35*((1+'Retirement Planning'!$J$24)^(YEAR('Projected Retirement Drawdown'!C277)-YEAR(TODAY())))</f>
        <v>11065.802488047659</v>
      </c>
      <c r="Z277" s="7">
        <f ca="1">G277+M277+O277+0.85*X277+V277*'Retirement Planning'!$J$46+T277</f>
        <v>12024.106680690158</v>
      </c>
      <c r="AA277" s="7">
        <f ca="1">IF(MONTH(C277)=1,(((MIN(MAX(0,((SUM(Z265:Z276)-'Retirement Planning'!$I$53-'Retirement Planning'!$I$54)-'Retirement Planning'!$J$51)*'Retirement Planning'!$I$52))))+(MIN(MAX(0,((SUM(Z265:Z276)-'Retirement Planning'!$I$53-'Retirement Planning'!$I$54)-'Retirement Planning'!$J$50)*'Retirement Planning'!$I$51),('Retirement Planning'!$J$51-'Retirement Planning'!$J$50)*'Retirement Planning'!$I$51))+(MIN(MAX(0,((SUM(Z265:Z276)-'Retirement Planning'!$I$53-'Retirement Planning'!$I$54)-'Retirement Planning'!$J$49)*'Retirement Planning'!$I$50),('Retirement Planning'!$J$50-'Retirement Planning'!$J$49)*'Retirement Planning'!$I$50)+MIN(MAX(0,((SUM(Z265:Z276)-'Retirement Planning'!$I$53-'Retirement Planning'!$I$54)-'Retirement Planning'!$J$48)*'Retirement Planning'!$I$49),('Retirement Planning'!$J$49-'Retirement Planning'!$J$48)*'Retirement Planning'!$I$49)+MIN(((SUM(Z265:Z276)-'Retirement Planning'!$I$53-'Retirement Planning'!$I$54))*'Retirement Planning'!$I$48,('Retirement Planning'!$J$48)*'Retirement Planning'!$I$48))+(IF((SUM(Z265:Z276)-'Retirement Planning'!$I$54-'Retirement Planning'!$I$61)&gt;'Retirement Planning'!$J$59,(SUM(Z265:Z276)-'Retirement Planning'!$I$54-'Retirement Planning'!$I$61-'Retirement Planning'!$J$59)*'Retirement Planning'!$I$60+'Retirement Planning'!$K$59,IF((SUM(Z265:Z276)-'Retirement Planning'!$I$54-'Retirement Planning'!$I$61)&gt;'Retirement Planning'!$J$58,(SUM(Z265:Z276)-'Retirement Planning'!$I$54-'Retirement Planning'!$I$61-'Retirement Planning'!$J$58)*'Retirement Planning'!$I$59+'Retirement Planning'!$K$58,IF((SUM(Z265:Z276)-'Retirement Planning'!$I$54-'Retirement Planning'!$I$61)&gt;'Retirement Planning'!$J$57,(SUM(Z265:Z276)-'Retirement Planning'!$I$54-'Retirement Planning'!$I$61-'Retirement Planning'!$J$57)*'Retirement Planning'!$I$58+'Retirement Planning'!$K$57,IF((SUM(Z265:Z276)-'Retirement Planning'!$I$54-'Retirement Planning'!$I$61)&gt;'Retirement Planning'!$J$56,(SUM(Z265:Z276)-'Retirement Planning'!$I$54-'Retirement Planning'!$I$61-'Retirement Planning'!$J$56)*'Retirement Planning'!$I$57+'Retirement Planning'!$K$56,(SUM(Z265:Z276)-'Retirement Planning'!$I$54-'Retirement Planning'!$I$61)*'Retirement Planning'!$I$56))))))/12,AA276)</f>
        <v>2842.6484705262251</v>
      </c>
      <c r="AB277" s="104">
        <f t="shared" ca="1" si="106"/>
        <v>0.24535456326634916</v>
      </c>
      <c r="AC277" s="7">
        <f>IF(B277&lt;65,'Retirement Planning'!$J$28,0)</f>
        <v>0</v>
      </c>
      <c r="AD277" s="7">
        <f>IF(B277&lt;65,'Retirement Planning'!$J$29/12,0)</f>
        <v>0</v>
      </c>
      <c r="AE277" s="22">
        <f>'Retirement Planning'!$J$31/12</f>
        <v>58.333333333333336</v>
      </c>
      <c r="AF277" s="22">
        <f>'Retirement Planning'!$J$32/12</f>
        <v>66.666666666666671</v>
      </c>
      <c r="AG277" s="7">
        <f>IF($B277&gt;64.9,'Retirement Planning'!$J$39/12,0)</f>
        <v>183.33333333333334</v>
      </c>
      <c r="AH277" s="7">
        <f>IF($B277&gt;64.9,'Retirement Planning'!$J$40/12,0)</f>
        <v>258.33333333333331</v>
      </c>
      <c r="AI277" s="7">
        <f>IF($B277&gt;64.9,'Retirement Planning'!$J$41/12,0)</f>
        <v>558.33333333333337</v>
      </c>
      <c r="AJ277" s="7">
        <f t="shared" ca="1" si="116"/>
        <v>316.66666666666663</v>
      </c>
      <c r="AK277" s="3" t="str">
        <f t="shared" ca="1" si="117"/>
        <v>N/A</v>
      </c>
      <c r="AL277" s="6" t="str">
        <f t="shared" ca="1" si="118"/>
        <v>N/A</v>
      </c>
      <c r="AM277" s="7">
        <f t="shared" ca="1" si="119"/>
        <v>1.1368683772161603E-12</v>
      </c>
      <c r="AN277" s="7">
        <f t="shared" ca="1" si="120"/>
        <v>15033.450958573883</v>
      </c>
      <c r="AO277" s="7">
        <f t="shared" si="121"/>
        <v>1125</v>
      </c>
    </row>
    <row r="278" spans="1:41" x14ac:dyDescent="0.2">
      <c r="A278">
        <f t="shared" si="122"/>
        <v>50</v>
      </c>
      <c r="B278" s="5">
        <f t="shared" si="123"/>
        <v>78.599999999999994</v>
      </c>
      <c r="C278" s="56">
        <f t="shared" si="124"/>
        <v>54575</v>
      </c>
      <c r="D278" s="57">
        <f ca="1">IF(AND(B277&lt;59.5,OR(B278&gt;59.5,B278=59.5)),(D277-E277+J277-K277)*(1+'Retirement Planning'!$J$23/12),(D277-E277)*(1+'Retirement Planning'!$J$23/12))</f>
        <v>581781.0805095135</v>
      </c>
      <c r="E278" s="58">
        <f t="shared" ca="1" si="111"/>
        <v>1459.4970683496795</v>
      </c>
      <c r="F278" s="57">
        <f ca="1">IF(AND(OR(B278&gt;59.5,B278=59.5),B277&lt;59.5),(F277-G277+L277-M277+N277-O277)*(1+'Retirement Planning'!$J$23/12),(F277-G277)*(1+'Retirement Planning'!$J$23/12))</f>
        <v>1416946.7801992816</v>
      </c>
      <c r="G278" s="58">
        <f ca="1">IF(AND($B$10&lt;55,B278&lt;59.5),'Retirement Planning'!$J$25,IF(OR(B278&gt;59.5,B278=59.5),MAX(0,MIN(F278,IF(D278&lt;2500,((Y278+AJ278+AA278))-X278,((Y278+AJ278+AA278)*'Retirement Planning'!$J$44)-X278))),0))</f>
        <v>10308.745276444846</v>
      </c>
      <c r="H278" s="255">
        <f ca="1">IF(MONTH(C278)=1,IF(B278&gt;69.5,F278/(INDEX('Retirement Planning'!D$1:D$264,(160+INT(B278))))/12,0),IF(F278=0,0,H277))</f>
        <v>9770.2204622081499</v>
      </c>
      <c r="I278" s="262">
        <f t="shared" ca="1" si="112"/>
        <v>0</v>
      </c>
      <c r="J278" s="254">
        <f ca="1">IF(AND(B277&lt;59.5,OR(B278=59.5,B278&gt;59.5)),0,(J277-K277)*(1+'Retirement Planning'!$J$23/12))</f>
        <v>0</v>
      </c>
      <c r="K278" s="58">
        <f t="shared" ca="1" si="113"/>
        <v>0</v>
      </c>
      <c r="L278" s="57">
        <f>IF(AND(OR(B278&gt;59.5,B278=59.5),B277&lt;59.5),0,(L277-M277)*(1+'Retirement Planning'!$J$23/12))</f>
        <v>0</v>
      </c>
      <c r="M278" s="59">
        <f>IF(AND($B$10&lt;55,B278&lt;59.5),0,IF(B278&lt;59.5,MAX(0,MIN((($Y278+$AJ278+AA278)*'Retirement Planning'!$J$44)-$G278-$X278,L278)),0))</f>
        <v>0</v>
      </c>
      <c r="N278" s="57">
        <f ca="1">(N277-O277)*(1+'Retirement Planning'!$J$23/12)</f>
        <v>0</v>
      </c>
      <c r="O278" s="59">
        <f ca="1">IF(B278&gt;59.5,MAX(0,MIN((AA278+$Y278+$AJ278)*(IF(D278&lt;(MIN(E266:E277)+1),1,'Retirement Planning'!$J$44))-M278-$G278-$X278-(IF(D278&lt;(MIN(E266:E277)+1),D278,0)),N278)),0)</f>
        <v>0</v>
      </c>
      <c r="P278" s="57">
        <f t="shared" si="125"/>
        <v>0</v>
      </c>
      <c r="Q278" s="58">
        <f t="shared" si="126"/>
        <v>0</v>
      </c>
      <c r="R278" s="57">
        <f ca="1">(R277-S277-T277)*(1+'Retirement Planning'!$J$23/12)</f>
        <v>698757.87908727152</v>
      </c>
      <c r="S278" s="58">
        <f t="shared" ca="1" si="127"/>
        <v>808.33333333333337</v>
      </c>
      <c r="T278" s="273">
        <f t="shared" ca="1" si="114"/>
        <v>6.8212102632969618E-13</v>
      </c>
      <c r="U278" s="57">
        <f ca="1">(U277-V277)*(1+'Retirement Planning'!$J$23/12)</f>
        <v>479104.51919604617</v>
      </c>
      <c r="V278" s="24">
        <f ca="1">IF(AND($B$10&lt;55,B278&lt;59.5),MIN(U278,MAX(0,(Y278+AA278+AJ278-G278)*'Retirement Planning'!$J$45)),IF(B278&lt;59.5,(MIN(U278,MAX(0,((Y278+AA278+AJ278)-G278-M278)*'Retirement Planning'!$J$45))),MIN(U278,MAX(0,(Y278+AA278+AJ278-G278-M278-K278-X278)*'Retirement Planning'!$J$45))))</f>
        <v>1243.2752804460233</v>
      </c>
      <c r="W278" s="7">
        <f t="shared" ca="1" si="115"/>
        <v>3176590.2589921127</v>
      </c>
      <c r="X278" s="7">
        <f>(IF(B278&gt;'Retirement Planning'!$J$34,IF('Retirement Planning'!$J$34=70,'Retirement Planning'!$J$37/12,IF('Retirement Planning'!$J$34=67,'Retirement Planning'!$J$36/12,'Retirement Planning'!$J$35/12)),0))*'Retirement Planning'!$J$38</f>
        <v>1213.6000000000001</v>
      </c>
      <c r="Y278" s="7">
        <f ca="1">'Retirement Planning'!$F$35*((1+'Retirement Planning'!$J$24)^(YEAR('Projected Retirement Drawdown'!C278)-YEAR(TODAY())))</f>
        <v>11065.802488047659</v>
      </c>
      <c r="Z278" s="7">
        <f ca="1">G278+M278+O278+0.85*X278+V278*'Retirement Planning'!$J$46+T278</f>
        <v>12024.106680690158</v>
      </c>
      <c r="AA278" s="7">
        <f ca="1">IF(MONTH(C278)=1,(((MIN(MAX(0,((SUM(Z266:Z277)-'Retirement Planning'!$I$53-'Retirement Planning'!$I$54)-'Retirement Planning'!$J$51)*'Retirement Planning'!$I$52))))+(MIN(MAX(0,((SUM(Z266:Z277)-'Retirement Planning'!$I$53-'Retirement Planning'!$I$54)-'Retirement Planning'!$J$50)*'Retirement Planning'!$I$51),('Retirement Planning'!$J$51-'Retirement Planning'!$J$50)*'Retirement Planning'!$I$51))+(MIN(MAX(0,((SUM(Z266:Z277)-'Retirement Planning'!$I$53-'Retirement Planning'!$I$54)-'Retirement Planning'!$J$49)*'Retirement Planning'!$I$50),('Retirement Planning'!$J$50-'Retirement Planning'!$J$49)*'Retirement Planning'!$I$50)+MIN(MAX(0,((SUM(Z266:Z277)-'Retirement Planning'!$I$53-'Retirement Planning'!$I$54)-'Retirement Planning'!$J$48)*'Retirement Planning'!$I$49),('Retirement Planning'!$J$49-'Retirement Planning'!$J$48)*'Retirement Planning'!$I$49)+MIN(((SUM(Z266:Z277)-'Retirement Planning'!$I$53-'Retirement Planning'!$I$54))*'Retirement Planning'!$I$48,('Retirement Planning'!$J$48)*'Retirement Planning'!$I$48))+(IF((SUM(Z266:Z277)-'Retirement Planning'!$I$54-'Retirement Planning'!$I$61)&gt;'Retirement Planning'!$J$59,(SUM(Z266:Z277)-'Retirement Planning'!$I$54-'Retirement Planning'!$I$61-'Retirement Planning'!$J$59)*'Retirement Planning'!$I$60+'Retirement Planning'!$K$59,IF((SUM(Z266:Z277)-'Retirement Planning'!$I$54-'Retirement Planning'!$I$61)&gt;'Retirement Planning'!$J$58,(SUM(Z266:Z277)-'Retirement Planning'!$I$54-'Retirement Planning'!$I$61-'Retirement Planning'!$J$58)*'Retirement Planning'!$I$59+'Retirement Planning'!$K$58,IF((SUM(Z266:Z277)-'Retirement Planning'!$I$54-'Retirement Planning'!$I$61)&gt;'Retirement Planning'!$J$57,(SUM(Z266:Z277)-'Retirement Planning'!$I$54-'Retirement Planning'!$I$61-'Retirement Planning'!$J$57)*'Retirement Planning'!$I$58+'Retirement Planning'!$K$57,IF((SUM(Z266:Z277)-'Retirement Planning'!$I$54-'Retirement Planning'!$I$61)&gt;'Retirement Planning'!$J$56,(SUM(Z266:Z277)-'Retirement Planning'!$I$54-'Retirement Planning'!$I$61-'Retirement Planning'!$J$56)*'Retirement Planning'!$I$57+'Retirement Planning'!$K$56,(SUM(Z266:Z277)-'Retirement Planning'!$I$54-'Retirement Planning'!$I$61)*'Retirement Planning'!$I$56))))))/12,AA277)</f>
        <v>2842.6484705262251</v>
      </c>
      <c r="AB278" s="104">
        <f t="shared" ca="1" si="106"/>
        <v>0.24535456326634916</v>
      </c>
      <c r="AC278" s="7">
        <f>IF(B278&lt;65,'Retirement Planning'!$J$28,0)</f>
        <v>0</v>
      </c>
      <c r="AD278" s="7">
        <f>IF(B278&lt;65,'Retirement Planning'!$J$29/12,0)</f>
        <v>0</v>
      </c>
      <c r="AE278" s="22">
        <f>'Retirement Planning'!$J$31/12</f>
        <v>58.333333333333336</v>
      </c>
      <c r="AF278" s="22">
        <f>'Retirement Planning'!$J$32/12</f>
        <v>66.666666666666671</v>
      </c>
      <c r="AG278" s="7">
        <f>IF($B278&gt;64.9,'Retirement Planning'!$J$39/12,0)</f>
        <v>183.33333333333334</v>
      </c>
      <c r="AH278" s="7">
        <f>IF($B278&gt;64.9,'Retirement Planning'!$J$40/12,0)</f>
        <v>258.33333333333331</v>
      </c>
      <c r="AI278" s="7">
        <f>IF($B278&gt;64.9,'Retirement Planning'!$J$41/12,0)</f>
        <v>558.33333333333337</v>
      </c>
      <c r="AJ278" s="7">
        <f t="shared" ca="1" si="116"/>
        <v>316.66666666666663</v>
      </c>
      <c r="AK278" s="3" t="str">
        <f t="shared" ca="1" si="117"/>
        <v>N/A</v>
      </c>
      <c r="AL278" s="6" t="str">
        <f t="shared" ca="1" si="118"/>
        <v>N/A</v>
      </c>
      <c r="AM278" s="7">
        <f t="shared" ca="1" si="119"/>
        <v>1.1368683772161603E-12</v>
      </c>
      <c r="AN278" s="7">
        <f t="shared" ca="1" si="120"/>
        <v>15033.450958573883</v>
      </c>
      <c r="AO278" s="7">
        <f t="shared" si="121"/>
        <v>1125</v>
      </c>
    </row>
    <row r="279" spans="1:41" x14ac:dyDescent="0.2">
      <c r="A279">
        <f t="shared" si="122"/>
        <v>50</v>
      </c>
      <c r="B279" s="5">
        <f t="shared" si="123"/>
        <v>78.7</v>
      </c>
      <c r="C279" s="56">
        <f t="shared" si="124"/>
        <v>54605</v>
      </c>
      <c r="D279" s="57">
        <f ca="1">IF(AND(B278&lt;59.5,OR(B279&gt;59.5,B279=59.5)),(D278-E278+J278-K278)*(1+'Retirement Planning'!$J$23/12),(D278-E278)*(1+'Retirement Planning'!$J$23/12))</f>
        <v>584432.19465720549</v>
      </c>
      <c r="E279" s="58">
        <f t="shared" ca="1" si="111"/>
        <v>1459.4970683496795</v>
      </c>
      <c r="F279" s="57">
        <f ca="1">IF(AND(OR(B279&gt;59.5,B279=59.5),B278&lt;59.5),(F278-G278+L278-M278+N278-O278)*(1+'Retirement Planning'!$J$23/12),(F278-G278)*(1+'Retirement Planning'!$J$23/12))</f>
        <v>1416601.7210035403</v>
      </c>
      <c r="G279" s="58">
        <f ca="1">IF(AND($B$10&lt;55,B279&lt;59.5),'Retirement Planning'!$J$25,IF(OR(B279&gt;59.5,B279=59.5),MAX(0,MIN(F279,IF(D279&lt;2500,((Y279+AJ279+AA279))-X279,((Y279+AJ279+AA279)*'Retirement Planning'!$J$44)-X279))),0))</f>
        <v>10308.745276444846</v>
      </c>
      <c r="H279" s="255">
        <f ca="1">IF(MONTH(C279)=1,IF(B279&gt;69.5,F279/(INDEX('Retirement Planning'!D$1:D$264,(160+INT(B279))))/12,0),IF(F279=0,0,H278))</f>
        <v>9770.2204622081499</v>
      </c>
      <c r="I279" s="262">
        <f t="shared" ca="1" si="112"/>
        <v>0</v>
      </c>
      <c r="J279" s="254">
        <f ca="1">IF(AND(B278&lt;59.5,OR(B279=59.5,B279&gt;59.5)),0,(J278-K278)*(1+'Retirement Planning'!$J$23/12))</f>
        <v>0</v>
      </c>
      <c r="K279" s="58">
        <f t="shared" ca="1" si="113"/>
        <v>0</v>
      </c>
      <c r="L279" s="57">
        <f>IF(AND(OR(B279&gt;59.5,B279=59.5),B278&lt;59.5),0,(L278-M278)*(1+'Retirement Planning'!$J$23/12))</f>
        <v>0</v>
      </c>
      <c r="M279" s="59">
        <f>IF(AND($B$10&lt;55,B279&lt;59.5),0,IF(B279&lt;59.5,MAX(0,MIN((($Y279+$AJ279+AA279)*'Retirement Planning'!$J$44)-$G279-$X279,L279)),0))</f>
        <v>0</v>
      </c>
      <c r="N279" s="57">
        <f ca="1">(N278-O278)*(1+'Retirement Planning'!$J$23/12)</f>
        <v>0</v>
      </c>
      <c r="O279" s="59">
        <f ca="1">IF(B279&gt;59.5,MAX(0,MIN((AA279+$Y279+$AJ279)*(IF(D279&lt;(MIN(E267:E278)+1),1,'Retirement Planning'!$J$44))-M279-$G279-$X279-(IF(D279&lt;(MIN(E267:E278)+1),D279,0)),N279)),0)</f>
        <v>0</v>
      </c>
      <c r="P279" s="57">
        <f t="shared" si="125"/>
        <v>0</v>
      </c>
      <c r="Q279" s="58">
        <f t="shared" si="126"/>
        <v>0</v>
      </c>
      <c r="R279" s="57">
        <f ca="1">(R278-S278-T278)*(1+'Retirement Planning'!$J$23/12)</f>
        <v>702893.35503636184</v>
      </c>
      <c r="S279" s="58">
        <f t="shared" ca="1" si="127"/>
        <v>808.33333333333337</v>
      </c>
      <c r="T279" s="273">
        <f t="shared" ca="1" si="114"/>
        <v>6.8212102632969618E-13</v>
      </c>
      <c r="U279" s="57">
        <f ca="1">(U278-V278)*(1+'Retirement Planning'!$J$23/12)</f>
        <v>481246.09439333563</v>
      </c>
      <c r="V279" s="24">
        <f ca="1">IF(AND($B$10&lt;55,B279&lt;59.5),MIN(U279,MAX(0,(Y279+AA279+AJ279-G279)*'Retirement Planning'!$J$45)),IF(B279&lt;59.5,(MIN(U279,MAX(0,((Y279+AA279+AJ279)-G279-M279)*'Retirement Planning'!$J$45))),MIN(U279,MAX(0,(Y279+AA279+AJ279-G279-M279-K279-X279)*'Retirement Planning'!$J$45))))</f>
        <v>1243.2752804460233</v>
      </c>
      <c r="W279" s="7">
        <f t="shared" ca="1" si="115"/>
        <v>3185173.3650904433</v>
      </c>
      <c r="X279" s="7">
        <f>(IF(B279&gt;'Retirement Planning'!$J$34,IF('Retirement Planning'!$J$34=70,'Retirement Planning'!$J$37/12,IF('Retirement Planning'!$J$34=67,'Retirement Planning'!$J$36/12,'Retirement Planning'!$J$35/12)),0))*'Retirement Planning'!$J$38</f>
        <v>1213.6000000000001</v>
      </c>
      <c r="Y279" s="7">
        <f ca="1">'Retirement Planning'!$F$35*((1+'Retirement Planning'!$J$24)^(YEAR('Projected Retirement Drawdown'!C279)-YEAR(TODAY())))</f>
        <v>11065.802488047659</v>
      </c>
      <c r="Z279" s="7">
        <f ca="1">G279+M279+O279+0.85*X279+V279*'Retirement Planning'!$J$46+T279</f>
        <v>12024.106680690158</v>
      </c>
      <c r="AA279" s="7">
        <f ca="1">IF(MONTH(C279)=1,(((MIN(MAX(0,((SUM(Z267:Z278)-'Retirement Planning'!$I$53-'Retirement Planning'!$I$54)-'Retirement Planning'!$J$51)*'Retirement Planning'!$I$52))))+(MIN(MAX(0,((SUM(Z267:Z278)-'Retirement Planning'!$I$53-'Retirement Planning'!$I$54)-'Retirement Planning'!$J$50)*'Retirement Planning'!$I$51),('Retirement Planning'!$J$51-'Retirement Planning'!$J$50)*'Retirement Planning'!$I$51))+(MIN(MAX(0,((SUM(Z267:Z278)-'Retirement Planning'!$I$53-'Retirement Planning'!$I$54)-'Retirement Planning'!$J$49)*'Retirement Planning'!$I$50),('Retirement Planning'!$J$50-'Retirement Planning'!$J$49)*'Retirement Planning'!$I$50)+MIN(MAX(0,((SUM(Z267:Z278)-'Retirement Planning'!$I$53-'Retirement Planning'!$I$54)-'Retirement Planning'!$J$48)*'Retirement Planning'!$I$49),('Retirement Planning'!$J$49-'Retirement Planning'!$J$48)*'Retirement Planning'!$I$49)+MIN(((SUM(Z267:Z278)-'Retirement Planning'!$I$53-'Retirement Planning'!$I$54))*'Retirement Planning'!$I$48,('Retirement Planning'!$J$48)*'Retirement Planning'!$I$48))+(IF((SUM(Z267:Z278)-'Retirement Planning'!$I$54-'Retirement Planning'!$I$61)&gt;'Retirement Planning'!$J$59,(SUM(Z267:Z278)-'Retirement Planning'!$I$54-'Retirement Planning'!$I$61-'Retirement Planning'!$J$59)*'Retirement Planning'!$I$60+'Retirement Planning'!$K$59,IF((SUM(Z267:Z278)-'Retirement Planning'!$I$54-'Retirement Planning'!$I$61)&gt;'Retirement Planning'!$J$58,(SUM(Z267:Z278)-'Retirement Planning'!$I$54-'Retirement Planning'!$I$61-'Retirement Planning'!$J$58)*'Retirement Planning'!$I$59+'Retirement Planning'!$K$58,IF((SUM(Z267:Z278)-'Retirement Planning'!$I$54-'Retirement Planning'!$I$61)&gt;'Retirement Planning'!$J$57,(SUM(Z267:Z278)-'Retirement Planning'!$I$54-'Retirement Planning'!$I$61-'Retirement Planning'!$J$57)*'Retirement Planning'!$I$58+'Retirement Planning'!$K$57,IF((SUM(Z267:Z278)-'Retirement Planning'!$I$54-'Retirement Planning'!$I$61)&gt;'Retirement Planning'!$J$56,(SUM(Z267:Z278)-'Retirement Planning'!$I$54-'Retirement Planning'!$I$61-'Retirement Planning'!$J$56)*'Retirement Planning'!$I$57+'Retirement Planning'!$K$56,(SUM(Z267:Z278)-'Retirement Planning'!$I$54-'Retirement Planning'!$I$61)*'Retirement Planning'!$I$56))))))/12,AA278)</f>
        <v>2842.6484705262251</v>
      </c>
      <c r="AB279" s="104">
        <f t="shared" ca="1" si="106"/>
        <v>0.24535456326634916</v>
      </c>
      <c r="AC279" s="7">
        <f>IF(B279&lt;65,'Retirement Planning'!$J$28,0)</f>
        <v>0</v>
      </c>
      <c r="AD279" s="7">
        <f>IF(B279&lt;65,'Retirement Planning'!$J$29/12,0)</f>
        <v>0</v>
      </c>
      <c r="AE279" s="22">
        <f>'Retirement Planning'!$J$31/12</f>
        <v>58.333333333333336</v>
      </c>
      <c r="AF279" s="22">
        <f>'Retirement Planning'!$J$32/12</f>
        <v>66.666666666666671</v>
      </c>
      <c r="AG279" s="7">
        <f>IF($B279&gt;64.9,'Retirement Planning'!$J$39/12,0)</f>
        <v>183.33333333333334</v>
      </c>
      <c r="AH279" s="7">
        <f>IF($B279&gt;64.9,'Retirement Planning'!$J$40/12,0)</f>
        <v>258.33333333333331</v>
      </c>
      <c r="AI279" s="7">
        <f>IF($B279&gt;64.9,'Retirement Planning'!$J$41/12,0)</f>
        <v>558.33333333333337</v>
      </c>
      <c r="AJ279" s="7">
        <f t="shared" ca="1" si="116"/>
        <v>316.66666666666663</v>
      </c>
      <c r="AK279" s="3" t="str">
        <f t="shared" ca="1" si="117"/>
        <v>N/A</v>
      </c>
      <c r="AL279" s="6" t="str">
        <f t="shared" ca="1" si="118"/>
        <v>N/A</v>
      </c>
      <c r="AM279" s="7">
        <f t="shared" ca="1" si="119"/>
        <v>1.1368683772161603E-12</v>
      </c>
      <c r="AN279" s="7">
        <f t="shared" ca="1" si="120"/>
        <v>15033.450958573883</v>
      </c>
      <c r="AO279" s="7">
        <f t="shared" si="121"/>
        <v>1125</v>
      </c>
    </row>
    <row r="280" spans="1:41" x14ac:dyDescent="0.2">
      <c r="A280">
        <f t="shared" si="122"/>
        <v>50</v>
      </c>
      <c r="B280" s="5">
        <f t="shared" si="123"/>
        <v>78.8</v>
      </c>
      <c r="C280" s="56">
        <f t="shared" si="124"/>
        <v>54636</v>
      </c>
      <c r="D280" s="57">
        <f ca="1">IF(AND(B279&lt;59.5,OR(B280&gt;59.5,B280=59.5)),(D279-E279+J279-K279)*(1+'Retirement Planning'!$J$23/12),(D279-E279)*(1+'Retirement Planning'!$J$23/12))</f>
        <v>587102.08753011026</v>
      </c>
      <c r="E280" s="58">
        <f t="shared" ca="1" si="111"/>
        <v>1459.4970683496795</v>
      </c>
      <c r="F280" s="57">
        <f ca="1">IF(AND(OR(B280&gt;59.5,B280=59.5),B279&lt;59.5),(F279-G279+L279-M279+N279-O279)*(1+'Retirement Planning'!$J$23/12),(F279-G279)*(1+'Retirement Planning'!$J$23/12))</f>
        <v>1416254.2176384958</v>
      </c>
      <c r="G280" s="58">
        <f ca="1">IF(AND($B$10&lt;55,B280&lt;59.5),'Retirement Planning'!$J$25,IF(OR(B280&gt;59.5,B280=59.5),MAX(0,MIN(F280,IF(D280&lt;2500,((Y280+AJ280+AA280))-X280,((Y280+AJ280+AA280)*'Retirement Planning'!$J$44)-X280))),0))</f>
        <v>10308.745276444846</v>
      </c>
      <c r="H280" s="255">
        <f ca="1">IF(MONTH(C280)=1,IF(B280&gt;69.5,F280/(INDEX('Retirement Planning'!D$1:D$264,(160+INT(B280))))/12,0),IF(F280=0,0,H279))</f>
        <v>9770.2204622081499</v>
      </c>
      <c r="I280" s="262">
        <f t="shared" ca="1" si="112"/>
        <v>0</v>
      </c>
      <c r="J280" s="254">
        <f ca="1">IF(AND(B279&lt;59.5,OR(B280=59.5,B280&gt;59.5)),0,(J279-K279)*(1+'Retirement Planning'!$J$23/12))</f>
        <v>0</v>
      </c>
      <c r="K280" s="58">
        <f t="shared" ca="1" si="113"/>
        <v>0</v>
      </c>
      <c r="L280" s="57">
        <f>IF(AND(OR(B280&gt;59.5,B280=59.5),B279&lt;59.5),0,(L279-M279)*(1+'Retirement Planning'!$J$23/12))</f>
        <v>0</v>
      </c>
      <c r="M280" s="59">
        <f>IF(AND($B$10&lt;55,B280&lt;59.5),0,IF(B280&lt;59.5,MAX(0,MIN((($Y280+$AJ280+AA280)*'Retirement Planning'!$J$44)-$G280-$X280,L280)),0))</f>
        <v>0</v>
      </c>
      <c r="N280" s="57">
        <f ca="1">(N279-O279)*(1+'Retirement Planning'!$J$23/12)</f>
        <v>0</v>
      </c>
      <c r="O280" s="59">
        <f ca="1">IF(B280&gt;59.5,MAX(0,MIN((AA280+$Y280+$AJ280)*(IF(D280&lt;(MIN(E268:E279)+1),1,'Retirement Planning'!$J$44))-M280-$G280-$X280-(IF(D280&lt;(MIN(E268:E279)+1),D280,0)),N280)),0)</f>
        <v>0</v>
      </c>
      <c r="P280" s="57">
        <f t="shared" si="125"/>
        <v>0</v>
      </c>
      <c r="Q280" s="58">
        <f t="shared" si="126"/>
        <v>0</v>
      </c>
      <c r="R280" s="57">
        <f ca="1">(R279-S279-T279)*(1+'Retirement Planning'!$J$23/12)</f>
        <v>707058.12394009158</v>
      </c>
      <c r="S280" s="58">
        <f t="shared" ca="1" si="127"/>
        <v>808.33333333333337</v>
      </c>
      <c r="T280" s="273">
        <f t="shared" ca="1" si="114"/>
        <v>6.8212102632969618E-13</v>
      </c>
      <c r="U280" s="57">
        <f ca="1">(U279-V279)*(1+'Retirement Planning'!$J$23/12)</f>
        <v>483402.8390816059</v>
      </c>
      <c r="V280" s="24">
        <f ca="1">IF(AND($B$10&lt;55,B280&lt;59.5),MIN(U280,MAX(0,(Y280+AA280+AJ280-G280)*'Retirement Planning'!$J$45)),IF(B280&lt;59.5,(MIN(U280,MAX(0,((Y280+AA280+AJ280)-G280-M280)*'Retirement Planning'!$J$45))),MIN(U280,MAX(0,(Y280+AA280+AJ280-G280-M280-K280-X280)*'Retirement Planning'!$J$45))))</f>
        <v>1243.2752804460233</v>
      </c>
      <c r="W280" s="7">
        <f t="shared" ca="1" si="115"/>
        <v>3193817.2681903038</v>
      </c>
      <c r="X280" s="7">
        <f>(IF(B280&gt;'Retirement Planning'!$J$34,IF('Retirement Planning'!$J$34=70,'Retirement Planning'!$J$37/12,IF('Retirement Planning'!$J$34=67,'Retirement Planning'!$J$36/12,'Retirement Planning'!$J$35/12)),0))*'Retirement Planning'!$J$38</f>
        <v>1213.6000000000001</v>
      </c>
      <c r="Y280" s="7">
        <f ca="1">'Retirement Planning'!$F$35*((1+'Retirement Planning'!$J$24)^(YEAR('Projected Retirement Drawdown'!C280)-YEAR(TODAY())))</f>
        <v>11065.802488047659</v>
      </c>
      <c r="Z280" s="7">
        <f ca="1">G280+M280+O280+0.85*X280+V280*'Retirement Planning'!$J$46+T280</f>
        <v>12024.106680690158</v>
      </c>
      <c r="AA280" s="7">
        <f ca="1">IF(MONTH(C280)=1,(((MIN(MAX(0,((SUM(Z268:Z279)-'Retirement Planning'!$I$53-'Retirement Planning'!$I$54)-'Retirement Planning'!$J$51)*'Retirement Planning'!$I$52))))+(MIN(MAX(0,((SUM(Z268:Z279)-'Retirement Planning'!$I$53-'Retirement Planning'!$I$54)-'Retirement Planning'!$J$50)*'Retirement Planning'!$I$51),('Retirement Planning'!$J$51-'Retirement Planning'!$J$50)*'Retirement Planning'!$I$51))+(MIN(MAX(0,((SUM(Z268:Z279)-'Retirement Planning'!$I$53-'Retirement Planning'!$I$54)-'Retirement Planning'!$J$49)*'Retirement Planning'!$I$50),('Retirement Planning'!$J$50-'Retirement Planning'!$J$49)*'Retirement Planning'!$I$50)+MIN(MAX(0,((SUM(Z268:Z279)-'Retirement Planning'!$I$53-'Retirement Planning'!$I$54)-'Retirement Planning'!$J$48)*'Retirement Planning'!$I$49),('Retirement Planning'!$J$49-'Retirement Planning'!$J$48)*'Retirement Planning'!$I$49)+MIN(((SUM(Z268:Z279)-'Retirement Planning'!$I$53-'Retirement Planning'!$I$54))*'Retirement Planning'!$I$48,('Retirement Planning'!$J$48)*'Retirement Planning'!$I$48))+(IF((SUM(Z268:Z279)-'Retirement Planning'!$I$54-'Retirement Planning'!$I$61)&gt;'Retirement Planning'!$J$59,(SUM(Z268:Z279)-'Retirement Planning'!$I$54-'Retirement Planning'!$I$61-'Retirement Planning'!$J$59)*'Retirement Planning'!$I$60+'Retirement Planning'!$K$59,IF((SUM(Z268:Z279)-'Retirement Planning'!$I$54-'Retirement Planning'!$I$61)&gt;'Retirement Planning'!$J$58,(SUM(Z268:Z279)-'Retirement Planning'!$I$54-'Retirement Planning'!$I$61-'Retirement Planning'!$J$58)*'Retirement Planning'!$I$59+'Retirement Planning'!$K$58,IF((SUM(Z268:Z279)-'Retirement Planning'!$I$54-'Retirement Planning'!$I$61)&gt;'Retirement Planning'!$J$57,(SUM(Z268:Z279)-'Retirement Planning'!$I$54-'Retirement Planning'!$I$61-'Retirement Planning'!$J$57)*'Retirement Planning'!$I$58+'Retirement Planning'!$K$57,IF((SUM(Z268:Z279)-'Retirement Planning'!$I$54-'Retirement Planning'!$I$61)&gt;'Retirement Planning'!$J$56,(SUM(Z268:Z279)-'Retirement Planning'!$I$54-'Retirement Planning'!$I$61-'Retirement Planning'!$J$56)*'Retirement Planning'!$I$57+'Retirement Planning'!$K$56,(SUM(Z268:Z279)-'Retirement Planning'!$I$54-'Retirement Planning'!$I$61)*'Retirement Planning'!$I$56))))))/12,AA279)</f>
        <v>2842.6484705262251</v>
      </c>
      <c r="AB280" s="104">
        <f t="shared" ca="1" si="106"/>
        <v>0.24535456326634916</v>
      </c>
      <c r="AC280" s="7">
        <f>IF(B280&lt;65,'Retirement Planning'!$J$28,0)</f>
        <v>0</v>
      </c>
      <c r="AD280" s="7">
        <f>IF(B280&lt;65,'Retirement Planning'!$J$29/12,0)</f>
        <v>0</v>
      </c>
      <c r="AE280" s="22">
        <f>'Retirement Planning'!$J$31/12</f>
        <v>58.333333333333336</v>
      </c>
      <c r="AF280" s="22">
        <f>'Retirement Planning'!$J$32/12</f>
        <v>66.666666666666671</v>
      </c>
      <c r="AG280" s="7">
        <f>IF($B280&gt;64.9,'Retirement Planning'!$J$39/12,0)</f>
        <v>183.33333333333334</v>
      </c>
      <c r="AH280" s="7">
        <f>IF($B280&gt;64.9,'Retirement Planning'!$J$40/12,0)</f>
        <v>258.33333333333331</v>
      </c>
      <c r="AI280" s="7">
        <f>IF($B280&gt;64.9,'Retirement Planning'!$J$41/12,0)</f>
        <v>558.33333333333337</v>
      </c>
      <c r="AJ280" s="7">
        <f t="shared" ca="1" si="116"/>
        <v>316.66666666666663</v>
      </c>
      <c r="AK280" s="3" t="str">
        <f t="shared" ca="1" si="117"/>
        <v>N/A</v>
      </c>
      <c r="AL280" s="6" t="str">
        <f t="shared" ca="1" si="118"/>
        <v>N/A</v>
      </c>
      <c r="AM280" s="7">
        <f t="shared" ca="1" si="119"/>
        <v>1.1368683772161603E-12</v>
      </c>
      <c r="AN280" s="7">
        <f t="shared" ca="1" si="120"/>
        <v>15033.450958573883</v>
      </c>
      <c r="AO280" s="7">
        <f t="shared" si="121"/>
        <v>1125</v>
      </c>
    </row>
    <row r="281" spans="1:41" x14ac:dyDescent="0.2">
      <c r="A281">
        <f t="shared" si="122"/>
        <v>50</v>
      </c>
      <c r="B281" s="5">
        <f t="shared" si="123"/>
        <v>78.900000000000006</v>
      </c>
      <c r="C281" s="56">
        <f t="shared" si="124"/>
        <v>54667</v>
      </c>
      <c r="D281" s="57">
        <f ca="1">IF(AND(B280&lt;59.5,OR(B281&gt;59.5,B281=59.5)),(D280-E280+J280-K280)*(1+'Retirement Planning'!$J$23/12),(D280-E280)*(1+'Retirement Planning'!$J$23/12))</f>
        <v>589790.89214419795</v>
      </c>
      <c r="E281" s="58">
        <f t="shared" ca="1" si="111"/>
        <v>1459.4970683496795</v>
      </c>
      <c r="F281" s="57">
        <f ca="1">IF(AND(OR(B281&gt;59.5,B281=59.5),B280&lt;59.5),(F280-G280+L280-M280+N280-O280)*(1+'Retirement Planning'!$J$23/12),(F280-G280)*(1+'Retirement Planning'!$J$23/12))</f>
        <v>1415904.2527912823</v>
      </c>
      <c r="G281" s="58">
        <f ca="1">IF(AND($B$10&lt;55,B281&lt;59.5),'Retirement Planning'!$J$25,IF(OR(B281&gt;59.5,B281=59.5),MAX(0,MIN(F281,IF(D281&lt;2500,((Y281+AJ281+AA281))-X281,((Y281+AJ281+AA281)*'Retirement Planning'!$J$44)-X281))),0))</f>
        <v>10308.745276444846</v>
      </c>
      <c r="H281" s="255">
        <f ca="1">IF(MONTH(C281)=1,IF(B281&gt;69.5,F281/(INDEX('Retirement Planning'!D$1:D$264,(160+INT(B281))))/12,0),IF(F281=0,0,H280))</f>
        <v>9770.2204622081499</v>
      </c>
      <c r="I281" s="262">
        <f t="shared" ca="1" si="112"/>
        <v>0</v>
      </c>
      <c r="J281" s="254">
        <f ca="1">IF(AND(B280&lt;59.5,OR(B281=59.5,B281&gt;59.5)),0,(J280-K280)*(1+'Retirement Planning'!$J$23/12))</f>
        <v>0</v>
      </c>
      <c r="K281" s="58">
        <f t="shared" ca="1" si="113"/>
        <v>0</v>
      </c>
      <c r="L281" s="57">
        <f>IF(AND(OR(B281&gt;59.5,B281=59.5),B280&lt;59.5),0,(L280-M280)*(1+'Retirement Planning'!$J$23/12))</f>
        <v>0</v>
      </c>
      <c r="M281" s="59">
        <f>IF(AND($B$10&lt;55,B281&lt;59.5),0,IF(B281&lt;59.5,MAX(0,MIN((($Y281+$AJ281+AA281)*'Retirement Planning'!$J$44)-$G281-$X281,L281)),0))</f>
        <v>0</v>
      </c>
      <c r="N281" s="57">
        <f ca="1">(N280-O280)*(1+'Retirement Planning'!$J$23/12)</f>
        <v>0</v>
      </c>
      <c r="O281" s="59">
        <f ca="1">IF(B281&gt;59.5,MAX(0,MIN((AA281+$Y281+$AJ281)*(IF(D281&lt;(MIN(E269:E280)+1),1,'Retirement Planning'!$J$44))-M281-$G281-$X281-(IF(D281&lt;(MIN(E269:E280)+1),D281,0)),N281)),0)</f>
        <v>0</v>
      </c>
      <c r="P281" s="57">
        <f t="shared" si="125"/>
        <v>0</v>
      </c>
      <c r="Q281" s="58">
        <f t="shared" si="126"/>
        <v>0</v>
      </c>
      <c r="R281" s="57">
        <f ca="1">(R280-S280-T280)*(1+'Retirement Planning'!$J$23/12)</f>
        <v>711252.39329022274</v>
      </c>
      <c r="S281" s="58">
        <f t="shared" ca="1" si="127"/>
        <v>808.33333333333337</v>
      </c>
      <c r="T281" s="273">
        <f t="shared" ca="1" si="114"/>
        <v>6.8212102632969618E-13</v>
      </c>
      <c r="U281" s="57">
        <f ca="1">(U280-V280)*(1+'Retirement Planning'!$J$23/12)</f>
        <v>485574.86071141809</v>
      </c>
      <c r="V281" s="24">
        <f ca="1">IF(AND($B$10&lt;55,B281&lt;59.5),MIN(U281,MAX(0,(Y281+AA281+AJ281-G281)*'Retirement Planning'!$J$45)),IF(B281&lt;59.5,(MIN(U281,MAX(0,((Y281+AA281+AJ281)-G281-M281)*'Retirement Planning'!$J$45))),MIN(U281,MAX(0,(Y281+AA281+AJ281-G281-M281-K281-X281)*'Retirement Planning'!$J$45))))</f>
        <v>1243.2752804460233</v>
      </c>
      <c r="W281" s="7">
        <f t="shared" ca="1" si="115"/>
        <v>3202522.398937121</v>
      </c>
      <c r="X281" s="7">
        <f>(IF(B281&gt;'Retirement Planning'!$J$34,IF('Retirement Planning'!$J$34=70,'Retirement Planning'!$J$37/12,IF('Retirement Planning'!$J$34=67,'Retirement Planning'!$J$36/12,'Retirement Planning'!$J$35/12)),0))*'Retirement Planning'!$J$38</f>
        <v>1213.6000000000001</v>
      </c>
      <c r="Y281" s="7">
        <f ca="1">'Retirement Planning'!$F$35*((1+'Retirement Planning'!$J$24)^(YEAR('Projected Retirement Drawdown'!C281)-YEAR(TODAY())))</f>
        <v>11065.802488047659</v>
      </c>
      <c r="Z281" s="7">
        <f ca="1">G281+M281+O281+0.85*X281+V281*'Retirement Planning'!$J$46+T281</f>
        <v>12024.106680690158</v>
      </c>
      <c r="AA281" s="7">
        <f ca="1">IF(MONTH(C281)=1,(((MIN(MAX(0,((SUM(Z269:Z280)-'Retirement Planning'!$I$53-'Retirement Planning'!$I$54)-'Retirement Planning'!$J$51)*'Retirement Planning'!$I$52))))+(MIN(MAX(0,((SUM(Z269:Z280)-'Retirement Planning'!$I$53-'Retirement Planning'!$I$54)-'Retirement Planning'!$J$50)*'Retirement Planning'!$I$51),('Retirement Planning'!$J$51-'Retirement Planning'!$J$50)*'Retirement Planning'!$I$51))+(MIN(MAX(0,((SUM(Z269:Z280)-'Retirement Planning'!$I$53-'Retirement Planning'!$I$54)-'Retirement Planning'!$J$49)*'Retirement Planning'!$I$50),('Retirement Planning'!$J$50-'Retirement Planning'!$J$49)*'Retirement Planning'!$I$50)+MIN(MAX(0,((SUM(Z269:Z280)-'Retirement Planning'!$I$53-'Retirement Planning'!$I$54)-'Retirement Planning'!$J$48)*'Retirement Planning'!$I$49),('Retirement Planning'!$J$49-'Retirement Planning'!$J$48)*'Retirement Planning'!$I$49)+MIN(((SUM(Z269:Z280)-'Retirement Planning'!$I$53-'Retirement Planning'!$I$54))*'Retirement Planning'!$I$48,('Retirement Planning'!$J$48)*'Retirement Planning'!$I$48))+(IF((SUM(Z269:Z280)-'Retirement Planning'!$I$54-'Retirement Planning'!$I$61)&gt;'Retirement Planning'!$J$59,(SUM(Z269:Z280)-'Retirement Planning'!$I$54-'Retirement Planning'!$I$61-'Retirement Planning'!$J$59)*'Retirement Planning'!$I$60+'Retirement Planning'!$K$59,IF((SUM(Z269:Z280)-'Retirement Planning'!$I$54-'Retirement Planning'!$I$61)&gt;'Retirement Planning'!$J$58,(SUM(Z269:Z280)-'Retirement Planning'!$I$54-'Retirement Planning'!$I$61-'Retirement Planning'!$J$58)*'Retirement Planning'!$I$59+'Retirement Planning'!$K$58,IF((SUM(Z269:Z280)-'Retirement Planning'!$I$54-'Retirement Planning'!$I$61)&gt;'Retirement Planning'!$J$57,(SUM(Z269:Z280)-'Retirement Planning'!$I$54-'Retirement Planning'!$I$61-'Retirement Planning'!$J$57)*'Retirement Planning'!$I$58+'Retirement Planning'!$K$57,IF((SUM(Z269:Z280)-'Retirement Planning'!$I$54-'Retirement Planning'!$I$61)&gt;'Retirement Planning'!$J$56,(SUM(Z269:Z280)-'Retirement Planning'!$I$54-'Retirement Planning'!$I$61-'Retirement Planning'!$J$56)*'Retirement Planning'!$I$57+'Retirement Planning'!$K$56,(SUM(Z269:Z280)-'Retirement Planning'!$I$54-'Retirement Planning'!$I$61)*'Retirement Planning'!$I$56))))))/12,AA280)</f>
        <v>2842.6484705262251</v>
      </c>
      <c r="AB281" s="104">
        <f t="shared" ca="1" si="106"/>
        <v>0.24535456326634916</v>
      </c>
      <c r="AC281" s="7">
        <f>IF(B281&lt;65,'Retirement Planning'!$J$28,0)</f>
        <v>0</v>
      </c>
      <c r="AD281" s="7">
        <f>IF(B281&lt;65,'Retirement Planning'!$J$29/12,0)</f>
        <v>0</v>
      </c>
      <c r="AE281" s="22">
        <f>'Retirement Planning'!$J$31/12</f>
        <v>58.333333333333336</v>
      </c>
      <c r="AF281" s="22">
        <f>'Retirement Planning'!$J$32/12</f>
        <v>66.666666666666671</v>
      </c>
      <c r="AG281" s="7">
        <f>IF($B281&gt;64.9,'Retirement Planning'!$J$39/12,0)</f>
        <v>183.33333333333334</v>
      </c>
      <c r="AH281" s="7">
        <f>IF($B281&gt;64.9,'Retirement Planning'!$J$40/12,0)</f>
        <v>258.33333333333331</v>
      </c>
      <c r="AI281" s="7">
        <f>IF($B281&gt;64.9,'Retirement Planning'!$J$41/12,0)</f>
        <v>558.33333333333337</v>
      </c>
      <c r="AJ281" s="7">
        <f t="shared" ca="1" si="116"/>
        <v>316.66666666666663</v>
      </c>
      <c r="AK281" s="3" t="str">
        <f t="shared" ca="1" si="117"/>
        <v>N/A</v>
      </c>
      <c r="AL281" s="6" t="str">
        <f t="shared" ca="1" si="118"/>
        <v>N/A</v>
      </c>
      <c r="AM281" s="7">
        <f t="shared" ca="1" si="119"/>
        <v>1.1368683772161603E-12</v>
      </c>
      <c r="AN281" s="7">
        <f t="shared" ca="1" si="120"/>
        <v>15033.450958573883</v>
      </c>
      <c r="AO281" s="7">
        <f t="shared" si="121"/>
        <v>1125</v>
      </c>
    </row>
    <row r="282" spans="1:41" x14ac:dyDescent="0.2">
      <c r="A282">
        <f t="shared" si="122"/>
        <v>50</v>
      </c>
      <c r="B282" s="5">
        <f t="shared" si="123"/>
        <v>79</v>
      </c>
      <c r="C282" s="56">
        <f t="shared" si="124"/>
        <v>54697</v>
      </c>
      <c r="D282" s="57">
        <f ca="1">IF(AND(B281&lt;59.5,OR(B282&gt;59.5,B282=59.5)),(D281-E281+J281-K281)*(1+'Retirement Planning'!$J$23/12),(D281-E281)*(1+'Retirement Planning'!$J$23/12))</f>
        <v>592498.74245763558</v>
      </c>
      <c r="E282" s="58">
        <f t="shared" ca="1" si="111"/>
        <v>1459.4970683496795</v>
      </c>
      <c r="F282" s="57">
        <f ca="1">IF(AND(OR(B282&gt;59.5,B282=59.5),B281&lt;59.5),(F281-G281+L281-M281+N281-O281)*(1+'Retirement Planning'!$J$23/12),(F281-G281)*(1+'Retirement Planning'!$J$23/12))</f>
        <v>1415551.8090264008</v>
      </c>
      <c r="G282" s="58">
        <f ca="1">IF(AND($B$10&lt;55,B282&lt;59.5),'Retirement Planning'!$J$25,IF(OR(B282&gt;59.5,B282=59.5),MAX(0,MIN(F282,IF(D282&lt;2500,((Y282+AJ282+AA282))-X282,((Y282+AJ282+AA282)*'Retirement Planning'!$J$44)-X282))),0))</f>
        <v>10308.745276444846</v>
      </c>
      <c r="H282" s="255">
        <f ca="1">IF(MONTH(C282)=1,IF(B282&gt;69.5,F282/(INDEX('Retirement Planning'!D$1:D$264,(160+INT(B282))))/12,0),IF(F282=0,0,H281))</f>
        <v>9770.2204622081499</v>
      </c>
      <c r="I282" s="262">
        <f t="shared" ca="1" si="112"/>
        <v>0</v>
      </c>
      <c r="J282" s="254">
        <f ca="1">IF(AND(B281&lt;59.5,OR(B282=59.5,B282&gt;59.5)),0,(J281-K281)*(1+'Retirement Planning'!$J$23/12))</f>
        <v>0</v>
      </c>
      <c r="K282" s="58">
        <f t="shared" ca="1" si="113"/>
        <v>0</v>
      </c>
      <c r="L282" s="57">
        <f>IF(AND(OR(B282&gt;59.5,B282=59.5),B281&lt;59.5),0,(L281-M281)*(1+'Retirement Planning'!$J$23/12))</f>
        <v>0</v>
      </c>
      <c r="M282" s="59">
        <f>IF(AND($B$10&lt;55,B282&lt;59.5),0,IF(B282&lt;59.5,MAX(0,MIN((($Y282+$AJ282+AA282)*'Retirement Planning'!$J$44)-$G282-$X282,L282)),0))</f>
        <v>0</v>
      </c>
      <c r="N282" s="57">
        <f ca="1">(N281-O281)*(1+'Retirement Planning'!$J$23/12)</f>
        <v>0</v>
      </c>
      <c r="O282" s="59">
        <f ca="1">IF(B282&gt;59.5,MAX(0,MIN((AA282+$Y282+$AJ282)*(IF(D282&lt;(MIN(E270:E281)+1),1,'Retirement Planning'!$J$44))-M282-$G282-$X282-(IF(D282&lt;(MIN(E270:E281)+1),D282,0)),N282)),0)</f>
        <v>0</v>
      </c>
      <c r="P282" s="57">
        <f t="shared" si="125"/>
        <v>0</v>
      </c>
      <c r="Q282" s="58">
        <f t="shared" si="126"/>
        <v>0</v>
      </c>
      <c r="R282" s="57">
        <f ca="1">(R281-S281-T281)*(1+'Retirement Planning'!$J$23/12)</f>
        <v>715476.37204825063</v>
      </c>
      <c r="S282" s="58">
        <f t="shared" ca="1" si="127"/>
        <v>808.33333333333337</v>
      </c>
      <c r="T282" s="273">
        <f t="shared" ca="1" si="114"/>
        <v>6.8212102632969618E-13</v>
      </c>
      <c r="U282" s="57">
        <f ca="1">(U281-V281)*(1+'Retirement Planning'!$J$23/12)</f>
        <v>487762.26749444142</v>
      </c>
      <c r="V282" s="24">
        <f ca="1">IF(AND($B$10&lt;55,B282&lt;59.5),MIN(U282,MAX(0,(Y282+AA282+AJ282-G282)*'Retirement Planning'!$J$45)),IF(B282&lt;59.5,(MIN(U282,MAX(0,((Y282+AA282+AJ282)-G282-M282)*'Retirement Planning'!$J$45))),MIN(U282,MAX(0,(Y282+AA282+AJ282-G282-M282-K282-X282)*'Retirement Planning'!$J$45))))</f>
        <v>1243.2752804460233</v>
      </c>
      <c r="W282" s="7">
        <f t="shared" ca="1" si="115"/>
        <v>3211289.1910267281</v>
      </c>
      <c r="X282" s="7">
        <f>(IF(B282&gt;'Retirement Planning'!$J$34,IF('Retirement Planning'!$J$34=70,'Retirement Planning'!$J$37/12,IF('Retirement Planning'!$J$34=67,'Retirement Planning'!$J$36/12,'Retirement Planning'!$J$35/12)),0))*'Retirement Planning'!$J$38</f>
        <v>1213.6000000000001</v>
      </c>
      <c r="Y282" s="7">
        <f ca="1">'Retirement Planning'!$F$35*((1+'Retirement Planning'!$J$24)^(YEAR('Projected Retirement Drawdown'!C282)-YEAR(TODAY())))</f>
        <v>11065.802488047659</v>
      </c>
      <c r="Z282" s="7">
        <f ca="1">G282+M282+O282+0.85*X282+V282*'Retirement Planning'!$J$46+T282</f>
        <v>12024.106680690158</v>
      </c>
      <c r="AA282" s="7">
        <f ca="1">IF(MONTH(C282)=1,(((MIN(MAX(0,((SUM(Z270:Z281)-'Retirement Planning'!$I$53-'Retirement Planning'!$I$54)-'Retirement Planning'!$J$51)*'Retirement Planning'!$I$52))))+(MIN(MAX(0,((SUM(Z270:Z281)-'Retirement Planning'!$I$53-'Retirement Planning'!$I$54)-'Retirement Planning'!$J$50)*'Retirement Planning'!$I$51),('Retirement Planning'!$J$51-'Retirement Planning'!$J$50)*'Retirement Planning'!$I$51))+(MIN(MAX(0,((SUM(Z270:Z281)-'Retirement Planning'!$I$53-'Retirement Planning'!$I$54)-'Retirement Planning'!$J$49)*'Retirement Planning'!$I$50),('Retirement Planning'!$J$50-'Retirement Planning'!$J$49)*'Retirement Planning'!$I$50)+MIN(MAX(0,((SUM(Z270:Z281)-'Retirement Planning'!$I$53-'Retirement Planning'!$I$54)-'Retirement Planning'!$J$48)*'Retirement Planning'!$I$49),('Retirement Planning'!$J$49-'Retirement Planning'!$J$48)*'Retirement Planning'!$I$49)+MIN(((SUM(Z270:Z281)-'Retirement Planning'!$I$53-'Retirement Planning'!$I$54))*'Retirement Planning'!$I$48,('Retirement Planning'!$J$48)*'Retirement Planning'!$I$48))+(IF((SUM(Z270:Z281)-'Retirement Planning'!$I$54-'Retirement Planning'!$I$61)&gt;'Retirement Planning'!$J$59,(SUM(Z270:Z281)-'Retirement Planning'!$I$54-'Retirement Planning'!$I$61-'Retirement Planning'!$J$59)*'Retirement Planning'!$I$60+'Retirement Planning'!$K$59,IF((SUM(Z270:Z281)-'Retirement Planning'!$I$54-'Retirement Planning'!$I$61)&gt;'Retirement Planning'!$J$58,(SUM(Z270:Z281)-'Retirement Planning'!$I$54-'Retirement Planning'!$I$61-'Retirement Planning'!$J$58)*'Retirement Planning'!$I$59+'Retirement Planning'!$K$58,IF((SUM(Z270:Z281)-'Retirement Planning'!$I$54-'Retirement Planning'!$I$61)&gt;'Retirement Planning'!$J$57,(SUM(Z270:Z281)-'Retirement Planning'!$I$54-'Retirement Planning'!$I$61-'Retirement Planning'!$J$57)*'Retirement Planning'!$I$58+'Retirement Planning'!$K$57,IF((SUM(Z270:Z281)-'Retirement Planning'!$I$54-'Retirement Planning'!$I$61)&gt;'Retirement Planning'!$J$56,(SUM(Z270:Z281)-'Retirement Planning'!$I$54-'Retirement Planning'!$I$61-'Retirement Planning'!$J$56)*'Retirement Planning'!$I$57+'Retirement Planning'!$K$56,(SUM(Z270:Z281)-'Retirement Planning'!$I$54-'Retirement Planning'!$I$61)*'Retirement Planning'!$I$56))))))/12,AA281)</f>
        <v>2842.6484705262251</v>
      </c>
      <c r="AB282" s="104">
        <f t="shared" ca="1" si="106"/>
        <v>0.24535456326634916</v>
      </c>
      <c r="AC282" s="7">
        <f>IF(B282&lt;65,'Retirement Planning'!$J$28,0)</f>
        <v>0</v>
      </c>
      <c r="AD282" s="7">
        <f>IF(B282&lt;65,'Retirement Planning'!$J$29/12,0)</f>
        <v>0</v>
      </c>
      <c r="AE282" s="22">
        <f>'Retirement Planning'!$J$31/12</f>
        <v>58.333333333333336</v>
      </c>
      <c r="AF282" s="22">
        <f>'Retirement Planning'!$J$32/12</f>
        <v>66.666666666666671</v>
      </c>
      <c r="AG282" s="7">
        <f>IF($B282&gt;64.9,'Retirement Planning'!$J$39/12,0)</f>
        <v>183.33333333333334</v>
      </c>
      <c r="AH282" s="7">
        <f>IF($B282&gt;64.9,'Retirement Planning'!$J$40/12,0)</f>
        <v>258.33333333333331</v>
      </c>
      <c r="AI282" s="7">
        <f>IF($B282&gt;64.9,'Retirement Planning'!$J$41/12,0)</f>
        <v>558.33333333333337</v>
      </c>
      <c r="AJ282" s="7">
        <f t="shared" ca="1" si="116"/>
        <v>316.66666666666663</v>
      </c>
      <c r="AK282" s="3" t="str">
        <f t="shared" ca="1" si="117"/>
        <v>N/A</v>
      </c>
      <c r="AL282" s="6" t="str">
        <f t="shared" ca="1" si="118"/>
        <v>N/A</v>
      </c>
      <c r="AM282" s="7">
        <f t="shared" ca="1" si="119"/>
        <v>1.1368683772161603E-12</v>
      </c>
      <c r="AN282" s="7">
        <f t="shared" ca="1" si="120"/>
        <v>15033.450958573883</v>
      </c>
      <c r="AO282" s="7">
        <f t="shared" si="121"/>
        <v>1125</v>
      </c>
    </row>
    <row r="283" spans="1:41" x14ac:dyDescent="0.2">
      <c r="A283">
        <f t="shared" si="122"/>
        <v>50</v>
      </c>
      <c r="B283" s="5">
        <f t="shared" si="123"/>
        <v>79</v>
      </c>
      <c r="C283" s="56">
        <f t="shared" si="124"/>
        <v>54728</v>
      </c>
      <c r="D283" s="57">
        <f ca="1">IF(AND(B282&lt;59.5,OR(B283&gt;59.5,B283=59.5)),(D282-E282+J282-K282)*(1+'Retirement Planning'!$J$23/12),(D282-E282)*(1+'Retirement Planning'!$J$23/12))</f>
        <v>595225.77337746008</v>
      </c>
      <c r="E283" s="58">
        <f t="shared" ca="1" si="111"/>
        <v>1459.4970683496795</v>
      </c>
      <c r="F283" s="57">
        <f ca="1">IF(AND(OR(B283&gt;59.5,B283=59.5),B282&lt;59.5),(F282-G282+L282-M282+N282-O282)*(1+'Retirement Planning'!$J$23/12),(F282-G282)*(1+'Retirement Planning'!$J$23/12))</f>
        <v>1415196.8687848514</v>
      </c>
      <c r="G283" s="58">
        <f ca="1">IF(AND($B$10&lt;55,B283&lt;59.5),'Retirement Planning'!$J$25,IF(OR(B283&gt;59.5,B283=59.5),MAX(0,MIN(F283,IF(D283&lt;2500,((Y283+AJ283+AA283))-X283,((Y283+AJ283+AA283)*'Retirement Planning'!$J$44)-X283))),0))</f>
        <v>10308.745276444846</v>
      </c>
      <c r="H283" s="255">
        <f ca="1">IF(MONTH(C283)=1,IF(B283&gt;69.5,F283/(INDEX('Retirement Planning'!D$1:D$264,(160+INT(B283))))/12,0),IF(F283=0,0,H282))</f>
        <v>9770.2204622081499</v>
      </c>
      <c r="I283" s="262">
        <f t="shared" ca="1" si="112"/>
        <v>0</v>
      </c>
      <c r="J283" s="254">
        <f ca="1">IF(AND(B282&lt;59.5,OR(B283=59.5,B283&gt;59.5)),0,(J282-K282)*(1+'Retirement Planning'!$J$23/12))</f>
        <v>0</v>
      </c>
      <c r="K283" s="58">
        <f t="shared" ca="1" si="113"/>
        <v>0</v>
      </c>
      <c r="L283" s="57">
        <f>IF(AND(OR(B283&gt;59.5,B283=59.5),B282&lt;59.5),0,(L282-M282)*(1+'Retirement Planning'!$J$23/12))</f>
        <v>0</v>
      </c>
      <c r="M283" s="59">
        <f>IF(AND($B$10&lt;55,B283&lt;59.5),0,IF(B283&lt;59.5,MAX(0,MIN((($Y283+$AJ283+AA283)*'Retirement Planning'!$J$44)-$G283-$X283,L283)),0))</f>
        <v>0</v>
      </c>
      <c r="N283" s="57">
        <f ca="1">(N282-O282)*(1+'Retirement Planning'!$J$23/12)</f>
        <v>0</v>
      </c>
      <c r="O283" s="59">
        <f ca="1">IF(B283&gt;59.5,MAX(0,MIN((AA283+$Y283+$AJ283)*(IF(D283&lt;(MIN(E271:E282)+1),1,'Retirement Planning'!$J$44))-M283-$G283-$X283-(IF(D283&lt;(MIN(E271:E282)+1),D283,0)),N283)),0)</f>
        <v>0</v>
      </c>
      <c r="P283" s="57">
        <f t="shared" si="125"/>
        <v>0</v>
      </c>
      <c r="Q283" s="58">
        <f t="shared" si="126"/>
        <v>0</v>
      </c>
      <c r="R283" s="57">
        <f ca="1">(R282-S282-T282)*(1+'Retirement Planning'!$J$23/12)</f>
        <v>719730.27065581456</v>
      </c>
      <c r="S283" s="58">
        <f t="shared" ca="1" si="127"/>
        <v>808.33333333333337</v>
      </c>
      <c r="T283" s="273">
        <f t="shared" ca="1" si="114"/>
        <v>6.8212102632969618E-13</v>
      </c>
      <c r="U283" s="57">
        <f ca="1">(U282-V282)*(1+'Retirement Planning'!$J$23/12)</f>
        <v>489965.1684088445</v>
      </c>
      <c r="V283" s="24">
        <f ca="1">IF(AND($B$10&lt;55,B283&lt;59.5),MIN(U283,MAX(0,(Y283+AA283+AJ283-G283)*'Retirement Planning'!$J$45)),IF(B283&lt;59.5,(MIN(U283,MAX(0,((Y283+AA283+AJ283)-G283-M283)*'Retirement Planning'!$J$45))),MIN(U283,MAX(0,(Y283+AA283+AJ283-G283-M283-K283-X283)*'Retirement Planning'!$J$45))))</f>
        <v>1243.2752804460233</v>
      </c>
      <c r="W283" s="7">
        <f t="shared" ca="1" si="115"/>
        <v>3220118.0812269705</v>
      </c>
      <c r="X283" s="7">
        <f>(IF(B283&gt;'Retirement Planning'!$J$34,IF('Retirement Planning'!$J$34=70,'Retirement Planning'!$J$37/12,IF('Retirement Planning'!$J$34=67,'Retirement Planning'!$J$36/12,'Retirement Planning'!$J$35/12)),0))*'Retirement Planning'!$J$38</f>
        <v>1213.6000000000001</v>
      </c>
      <c r="Y283" s="7">
        <f ca="1">'Retirement Planning'!$F$35*((1+'Retirement Planning'!$J$24)^(YEAR('Projected Retirement Drawdown'!C283)-YEAR(TODAY())))</f>
        <v>11065.802488047659</v>
      </c>
      <c r="Z283" s="7">
        <f ca="1">G283+M283+O283+0.85*X283+V283*'Retirement Planning'!$J$46+T283</f>
        <v>12024.106680690158</v>
      </c>
      <c r="AA283" s="7">
        <f ca="1">IF(MONTH(C283)=1,(((MIN(MAX(0,((SUM(Z271:Z282)-'Retirement Planning'!$I$53-'Retirement Planning'!$I$54)-'Retirement Planning'!$J$51)*'Retirement Planning'!$I$52))))+(MIN(MAX(0,((SUM(Z271:Z282)-'Retirement Planning'!$I$53-'Retirement Planning'!$I$54)-'Retirement Planning'!$J$50)*'Retirement Planning'!$I$51),('Retirement Planning'!$J$51-'Retirement Planning'!$J$50)*'Retirement Planning'!$I$51))+(MIN(MAX(0,((SUM(Z271:Z282)-'Retirement Planning'!$I$53-'Retirement Planning'!$I$54)-'Retirement Planning'!$J$49)*'Retirement Planning'!$I$50),('Retirement Planning'!$J$50-'Retirement Planning'!$J$49)*'Retirement Planning'!$I$50)+MIN(MAX(0,((SUM(Z271:Z282)-'Retirement Planning'!$I$53-'Retirement Planning'!$I$54)-'Retirement Planning'!$J$48)*'Retirement Planning'!$I$49),('Retirement Planning'!$J$49-'Retirement Planning'!$J$48)*'Retirement Planning'!$I$49)+MIN(((SUM(Z271:Z282)-'Retirement Planning'!$I$53-'Retirement Planning'!$I$54))*'Retirement Planning'!$I$48,('Retirement Planning'!$J$48)*'Retirement Planning'!$I$48))+(IF((SUM(Z271:Z282)-'Retirement Planning'!$I$54-'Retirement Planning'!$I$61)&gt;'Retirement Planning'!$J$59,(SUM(Z271:Z282)-'Retirement Planning'!$I$54-'Retirement Planning'!$I$61-'Retirement Planning'!$J$59)*'Retirement Planning'!$I$60+'Retirement Planning'!$K$59,IF((SUM(Z271:Z282)-'Retirement Planning'!$I$54-'Retirement Planning'!$I$61)&gt;'Retirement Planning'!$J$58,(SUM(Z271:Z282)-'Retirement Planning'!$I$54-'Retirement Planning'!$I$61-'Retirement Planning'!$J$58)*'Retirement Planning'!$I$59+'Retirement Planning'!$K$58,IF((SUM(Z271:Z282)-'Retirement Planning'!$I$54-'Retirement Planning'!$I$61)&gt;'Retirement Planning'!$J$57,(SUM(Z271:Z282)-'Retirement Planning'!$I$54-'Retirement Planning'!$I$61-'Retirement Planning'!$J$57)*'Retirement Planning'!$I$58+'Retirement Planning'!$K$57,IF((SUM(Z271:Z282)-'Retirement Planning'!$I$54-'Retirement Planning'!$I$61)&gt;'Retirement Planning'!$J$56,(SUM(Z271:Z282)-'Retirement Planning'!$I$54-'Retirement Planning'!$I$61-'Retirement Planning'!$J$56)*'Retirement Planning'!$I$57+'Retirement Planning'!$K$56,(SUM(Z271:Z282)-'Retirement Planning'!$I$54-'Retirement Planning'!$I$61)*'Retirement Planning'!$I$56))))))/12,AA282)</f>
        <v>2842.6484705262251</v>
      </c>
      <c r="AB283" s="104">
        <f t="shared" ca="1" si="106"/>
        <v>0.24535456326634916</v>
      </c>
      <c r="AC283" s="7">
        <f>IF(B283&lt;65,'Retirement Planning'!$J$28,0)</f>
        <v>0</v>
      </c>
      <c r="AD283" s="7">
        <f>IF(B283&lt;65,'Retirement Planning'!$J$29/12,0)</f>
        <v>0</v>
      </c>
      <c r="AE283" s="22">
        <f>'Retirement Planning'!$J$31/12</f>
        <v>58.333333333333336</v>
      </c>
      <c r="AF283" s="22">
        <f>'Retirement Planning'!$J$32/12</f>
        <v>66.666666666666671</v>
      </c>
      <c r="AG283" s="7">
        <f>IF($B283&gt;64.9,'Retirement Planning'!$J$39/12,0)</f>
        <v>183.33333333333334</v>
      </c>
      <c r="AH283" s="7">
        <f>IF($B283&gt;64.9,'Retirement Planning'!$J$40/12,0)</f>
        <v>258.33333333333331</v>
      </c>
      <c r="AI283" s="7">
        <f>IF($B283&gt;64.9,'Retirement Planning'!$J$41/12,0)</f>
        <v>558.33333333333337</v>
      </c>
      <c r="AJ283" s="7">
        <f t="shared" ca="1" si="116"/>
        <v>316.66666666666663</v>
      </c>
      <c r="AK283" s="3" t="str">
        <f t="shared" ca="1" si="117"/>
        <v>N/A</v>
      </c>
      <c r="AL283" s="6" t="str">
        <f t="shared" ca="1" si="118"/>
        <v>N/A</v>
      </c>
      <c r="AM283" s="7">
        <f t="shared" ca="1" si="119"/>
        <v>1.1368683772161603E-12</v>
      </c>
      <c r="AN283" s="7">
        <f t="shared" ca="1" si="120"/>
        <v>15033.450958573883</v>
      </c>
      <c r="AO283" s="7">
        <f t="shared" si="121"/>
        <v>1125</v>
      </c>
    </row>
    <row r="284" spans="1:41" x14ac:dyDescent="0.2">
      <c r="A284">
        <f t="shared" si="122"/>
        <v>50</v>
      </c>
      <c r="B284" s="5">
        <f t="shared" si="123"/>
        <v>79.099999999999994</v>
      </c>
      <c r="C284" s="56">
        <f t="shared" si="124"/>
        <v>54758</v>
      </c>
      <c r="D284" s="57">
        <f ca="1">IF(AND(B283&lt;59.5,OR(B284&gt;59.5,B284=59.5)),(D283-E283+J283-K283)*(1+'Retirement Planning'!$J$23/12),(D283-E283)*(1+'Retirement Planning'!$J$23/12))</f>
        <v>597972.12076630001</v>
      </c>
      <c r="E284" s="58">
        <f t="shared" ca="1" si="111"/>
        <v>1459.4970683496795</v>
      </c>
      <c r="F284" s="57">
        <f ca="1">IF(AND(OR(B284&gt;59.5,B284=59.5),B283&lt;59.5),(F283-G283+L283-M283+N283-O283)*(1+'Retirement Planning'!$J$23/12),(F283-G283)*(1+'Retirement Planning'!$J$23/12))</f>
        <v>1414839.4143832577</v>
      </c>
      <c r="G284" s="58">
        <f ca="1">IF(AND($B$10&lt;55,B284&lt;59.5),'Retirement Planning'!$J$25,IF(OR(B284&gt;59.5,B284=59.5),MAX(0,MIN(F284,IF(D284&lt;2500,((Y284+AJ284+AA284))-X284,((Y284+AJ284+AA284)*'Retirement Planning'!$J$44)-X284))),0))</f>
        <v>10308.745276444846</v>
      </c>
      <c r="H284" s="255">
        <f ca="1">IF(MONTH(C284)=1,IF(B284&gt;69.5,F284/(INDEX('Retirement Planning'!D$1:D$264,(160+INT(B284))))/12,0),IF(F284=0,0,H283))</f>
        <v>9770.2204622081499</v>
      </c>
      <c r="I284" s="262">
        <f t="shared" ca="1" si="112"/>
        <v>0</v>
      </c>
      <c r="J284" s="254">
        <f ca="1">IF(AND(B283&lt;59.5,OR(B284=59.5,B284&gt;59.5)),0,(J283-K283)*(1+'Retirement Planning'!$J$23/12))</f>
        <v>0</v>
      </c>
      <c r="K284" s="58">
        <f t="shared" ca="1" si="113"/>
        <v>0</v>
      </c>
      <c r="L284" s="57">
        <f>IF(AND(OR(B284&gt;59.5,B284=59.5),B283&lt;59.5),0,(L283-M283)*(1+'Retirement Planning'!$J$23/12))</f>
        <v>0</v>
      </c>
      <c r="M284" s="59">
        <f>IF(AND($B$10&lt;55,B284&lt;59.5),0,IF(B284&lt;59.5,MAX(0,MIN((($Y284+$AJ284+AA284)*'Retirement Planning'!$J$44)-$G284-$X284,L284)),0))</f>
        <v>0</v>
      </c>
      <c r="N284" s="57">
        <f ca="1">(N283-O283)*(1+'Retirement Planning'!$J$23/12)</f>
        <v>0</v>
      </c>
      <c r="O284" s="59">
        <f ca="1">IF(B284&gt;59.5,MAX(0,MIN((AA284+$Y284+$AJ284)*(IF(D284&lt;(MIN(E272:E283)+1),1,'Retirement Planning'!$J$44))-M284-$G284-$X284-(IF(D284&lt;(MIN(E272:E283)+1),D284,0)),N284)),0)</f>
        <v>0</v>
      </c>
      <c r="P284" s="57">
        <f t="shared" si="125"/>
        <v>0</v>
      </c>
      <c r="Q284" s="58">
        <f t="shared" si="126"/>
        <v>0</v>
      </c>
      <c r="R284" s="57">
        <f ca="1">(R283-S283-T283)*(1+'Retirement Planning'!$J$23/12)</f>
        <v>724014.30104518204</v>
      </c>
      <c r="S284" s="58">
        <f t="shared" ca="1" si="127"/>
        <v>808.33333333333337</v>
      </c>
      <c r="T284" s="273">
        <f t="shared" ca="1" si="114"/>
        <v>6.8212102632969618E-13</v>
      </c>
      <c r="U284" s="57">
        <f ca="1">(U283-V283)*(1+'Retirement Planning'!$J$23/12)</f>
        <v>492183.67320472462</v>
      </c>
      <c r="V284" s="24">
        <f ca="1">IF(AND($B$10&lt;55,B284&lt;59.5),MIN(U284,MAX(0,(Y284+AA284+AJ284-G284)*'Retirement Planning'!$J$45)),IF(B284&lt;59.5,(MIN(U284,MAX(0,((Y284+AA284+AJ284)-G284-M284)*'Retirement Planning'!$J$45))),MIN(U284,MAX(0,(Y284+AA284+AJ284-G284-M284-K284-X284)*'Retirement Planning'!$J$45))))</f>
        <v>1243.2752804460233</v>
      </c>
      <c r="W284" s="7">
        <f t="shared" ca="1" si="115"/>
        <v>3229009.5093994644</v>
      </c>
      <c r="X284" s="7">
        <f>(IF(B284&gt;'Retirement Planning'!$J$34,IF('Retirement Planning'!$J$34=70,'Retirement Planning'!$J$37/12,IF('Retirement Planning'!$J$34=67,'Retirement Planning'!$J$36/12,'Retirement Planning'!$J$35/12)),0))*'Retirement Planning'!$J$38</f>
        <v>1213.6000000000001</v>
      </c>
      <c r="Y284" s="7">
        <f ca="1">'Retirement Planning'!$F$35*((1+'Retirement Planning'!$J$24)^(YEAR('Projected Retirement Drawdown'!C284)-YEAR(TODAY())))</f>
        <v>11065.802488047659</v>
      </c>
      <c r="Z284" s="7">
        <f ca="1">G284+M284+O284+0.85*X284+V284*'Retirement Planning'!$J$46+T284</f>
        <v>12024.106680690158</v>
      </c>
      <c r="AA284" s="7">
        <f ca="1">IF(MONTH(C284)=1,(((MIN(MAX(0,((SUM(Z272:Z283)-'Retirement Planning'!$I$53-'Retirement Planning'!$I$54)-'Retirement Planning'!$J$51)*'Retirement Planning'!$I$52))))+(MIN(MAX(0,((SUM(Z272:Z283)-'Retirement Planning'!$I$53-'Retirement Planning'!$I$54)-'Retirement Planning'!$J$50)*'Retirement Planning'!$I$51),('Retirement Planning'!$J$51-'Retirement Planning'!$J$50)*'Retirement Planning'!$I$51))+(MIN(MAX(0,((SUM(Z272:Z283)-'Retirement Planning'!$I$53-'Retirement Planning'!$I$54)-'Retirement Planning'!$J$49)*'Retirement Planning'!$I$50),('Retirement Planning'!$J$50-'Retirement Planning'!$J$49)*'Retirement Planning'!$I$50)+MIN(MAX(0,((SUM(Z272:Z283)-'Retirement Planning'!$I$53-'Retirement Planning'!$I$54)-'Retirement Planning'!$J$48)*'Retirement Planning'!$I$49),('Retirement Planning'!$J$49-'Retirement Planning'!$J$48)*'Retirement Planning'!$I$49)+MIN(((SUM(Z272:Z283)-'Retirement Planning'!$I$53-'Retirement Planning'!$I$54))*'Retirement Planning'!$I$48,('Retirement Planning'!$J$48)*'Retirement Planning'!$I$48))+(IF((SUM(Z272:Z283)-'Retirement Planning'!$I$54-'Retirement Planning'!$I$61)&gt;'Retirement Planning'!$J$59,(SUM(Z272:Z283)-'Retirement Planning'!$I$54-'Retirement Planning'!$I$61-'Retirement Planning'!$J$59)*'Retirement Planning'!$I$60+'Retirement Planning'!$K$59,IF((SUM(Z272:Z283)-'Retirement Planning'!$I$54-'Retirement Planning'!$I$61)&gt;'Retirement Planning'!$J$58,(SUM(Z272:Z283)-'Retirement Planning'!$I$54-'Retirement Planning'!$I$61-'Retirement Planning'!$J$58)*'Retirement Planning'!$I$59+'Retirement Planning'!$K$58,IF((SUM(Z272:Z283)-'Retirement Planning'!$I$54-'Retirement Planning'!$I$61)&gt;'Retirement Planning'!$J$57,(SUM(Z272:Z283)-'Retirement Planning'!$I$54-'Retirement Planning'!$I$61-'Retirement Planning'!$J$57)*'Retirement Planning'!$I$58+'Retirement Planning'!$K$57,IF((SUM(Z272:Z283)-'Retirement Planning'!$I$54-'Retirement Planning'!$I$61)&gt;'Retirement Planning'!$J$56,(SUM(Z272:Z283)-'Retirement Planning'!$I$54-'Retirement Planning'!$I$61-'Retirement Planning'!$J$56)*'Retirement Planning'!$I$57+'Retirement Planning'!$K$56,(SUM(Z272:Z283)-'Retirement Planning'!$I$54-'Retirement Planning'!$I$61)*'Retirement Planning'!$I$56))))))/12,AA283)</f>
        <v>2842.6484705262251</v>
      </c>
      <c r="AB284" s="104">
        <f t="shared" ca="1" si="106"/>
        <v>0.24535456326634916</v>
      </c>
      <c r="AC284" s="7">
        <f>IF(B284&lt;65,'Retirement Planning'!$J$28,0)</f>
        <v>0</v>
      </c>
      <c r="AD284" s="7">
        <f>IF(B284&lt;65,'Retirement Planning'!$J$29/12,0)</f>
        <v>0</v>
      </c>
      <c r="AE284" s="22">
        <f>'Retirement Planning'!$J$31/12</f>
        <v>58.333333333333336</v>
      </c>
      <c r="AF284" s="22">
        <f>'Retirement Planning'!$J$32/12</f>
        <v>66.666666666666671</v>
      </c>
      <c r="AG284" s="7">
        <f>IF($B284&gt;64.9,'Retirement Planning'!$J$39/12,0)</f>
        <v>183.33333333333334</v>
      </c>
      <c r="AH284" s="7">
        <f>IF($B284&gt;64.9,'Retirement Planning'!$J$40/12,0)</f>
        <v>258.33333333333331</v>
      </c>
      <c r="AI284" s="7">
        <f>IF($B284&gt;64.9,'Retirement Planning'!$J$41/12,0)</f>
        <v>558.33333333333337</v>
      </c>
      <c r="AJ284" s="7">
        <f t="shared" ca="1" si="116"/>
        <v>316.66666666666663</v>
      </c>
      <c r="AK284" s="3" t="str">
        <f t="shared" ca="1" si="117"/>
        <v>N/A</v>
      </c>
      <c r="AL284" s="6" t="str">
        <f t="shared" ca="1" si="118"/>
        <v>N/A</v>
      </c>
      <c r="AM284" s="7">
        <f t="shared" ca="1" si="119"/>
        <v>1.1368683772161603E-12</v>
      </c>
      <c r="AN284" s="7">
        <f t="shared" ca="1" si="120"/>
        <v>15033.450958573883</v>
      </c>
      <c r="AO284" s="7">
        <f t="shared" si="121"/>
        <v>1125</v>
      </c>
    </row>
    <row r="285" spans="1:41" x14ac:dyDescent="0.2">
      <c r="A285">
        <f t="shared" si="122"/>
        <v>50</v>
      </c>
      <c r="B285" s="5">
        <f t="shared" si="123"/>
        <v>79.2</v>
      </c>
      <c r="C285" s="56">
        <f t="shared" si="124"/>
        <v>54789</v>
      </c>
      <c r="D285" s="57">
        <f ca="1">IF(AND(B284&lt;59.5,OR(B285&gt;59.5,B285=59.5)),(D284-E284+J284-K284)*(1+'Retirement Planning'!$J$23/12),(D284-E284)*(1+'Retirement Planning'!$J$23/12))</f>
        <v>600737.92144914414</v>
      </c>
      <c r="E285" s="58">
        <f t="shared" ca="1" si="111"/>
        <v>1513.7301400777415</v>
      </c>
      <c r="F285" s="57">
        <f ca="1">IF(AND(OR(B285&gt;59.5,B285=59.5),B284&lt;59.5),(F284-G284+L284-M284+N284-O284)*(1+'Retirement Planning'!$J$23/12),(F284-G284)*(1+'Retirement Planning'!$J$23/12))</f>
        <v>1414479.4280129862</v>
      </c>
      <c r="G285" s="58">
        <f ca="1">IF(AND($B$10&lt;55,B285&lt;59.5),'Retirement Planning'!$J$25,IF(OR(B285&gt;59.5,B285=59.5),MAX(0,MIN(F285,IF(D285&lt;2500,((Y285+AJ285+AA285))-X285,((Y285+AJ285+AA285)*'Retirement Planning'!$J$44)-X285))),0))</f>
        <v>10736.901105876905</v>
      </c>
      <c r="H285" s="255">
        <f ca="1">IF(MONTH(C285)=1,IF(B285&gt;69.5,F285/(INDEX('Retirement Planning'!D$1:D$264,(160+INT(B285))))/12,0),IF(F285=0,0,H284))</f>
        <v>10339.761900679723</v>
      </c>
      <c r="I285" s="262">
        <f t="shared" ca="1" si="112"/>
        <v>0</v>
      </c>
      <c r="J285" s="254">
        <f ca="1">IF(AND(B284&lt;59.5,OR(B285=59.5,B285&gt;59.5)),0,(J284-K284)*(1+'Retirement Planning'!$J$23/12))</f>
        <v>0</v>
      </c>
      <c r="K285" s="58">
        <f t="shared" ca="1" si="113"/>
        <v>0</v>
      </c>
      <c r="L285" s="57">
        <f>IF(AND(OR(B285&gt;59.5,B285=59.5),B284&lt;59.5),0,(L284-M284)*(1+'Retirement Planning'!$J$23/12))</f>
        <v>0</v>
      </c>
      <c r="M285" s="59">
        <f>IF(AND($B$10&lt;55,B285&lt;59.5),0,IF(B285&lt;59.5,MAX(0,MIN((($Y285+$AJ285+AA285)*'Retirement Planning'!$J$44)-$G285-$X285,L285)),0))</f>
        <v>0</v>
      </c>
      <c r="N285" s="57">
        <f ca="1">(N284-O284)*(1+'Retirement Planning'!$J$23/12)</f>
        <v>0</v>
      </c>
      <c r="O285" s="59">
        <f ca="1">IF(B285&gt;59.5,MAX(0,MIN((AA285+$Y285+$AJ285)*(IF(D285&lt;(MIN(E273:E284)+1),1,'Retirement Planning'!$J$44))-M285-$G285-$X285-(IF(D285&lt;(MIN(E273:E284)+1),D285,0)),N285)),0)</f>
        <v>0</v>
      </c>
      <c r="P285" s="57">
        <f t="shared" si="125"/>
        <v>0</v>
      </c>
      <c r="Q285" s="58">
        <f t="shared" si="126"/>
        <v>0</v>
      </c>
      <c r="R285" s="57">
        <f ca="1">(R284-S284-T284)*(1+'Retirement Planning'!$J$23/12)</f>
        <v>728328.6766498076</v>
      </c>
      <c r="S285" s="58">
        <f t="shared" ca="1" si="127"/>
        <v>808.33333333333337</v>
      </c>
      <c r="T285" s="273">
        <f t="shared" ca="1" si="114"/>
        <v>0</v>
      </c>
      <c r="U285" s="57">
        <f ca="1">(U284-V284)*(1+'Retirement Planning'!$J$23/12)</f>
        <v>494417.89240957552</v>
      </c>
      <c r="V285" s="24">
        <f ca="1">IF(AND($B$10&lt;55,B285&lt;59.5),MIN(U285,MAX(0,(Y285+AA285+AJ285-G285)*'Retirement Planning'!$J$45)),IF(B285&lt;59.5,(MIN(U285,MAX(0,((Y285+AA285+AJ285)-G285-M285)*'Retirement Planning'!$J$45))),MIN(U285,MAX(0,(Y285+AA285+AJ285-G285-M285-K285-X285)*'Retirement Planning'!$J$45))))</f>
        <v>1289.4738230291866</v>
      </c>
      <c r="W285" s="7">
        <f t="shared" ca="1" si="115"/>
        <v>3237963.9185215137</v>
      </c>
      <c r="X285" s="7">
        <f>(IF(B285&gt;'Retirement Planning'!$J$34,IF('Retirement Planning'!$J$34=70,'Retirement Planning'!$J$37/12,IF('Retirement Planning'!$J$34=67,'Retirement Planning'!$J$36/12,'Retirement Planning'!$J$35/12)),0))*'Retirement Planning'!$J$38</f>
        <v>1213.6000000000001</v>
      </c>
      <c r="Y285" s="7">
        <f ca="1">'Retirement Planning'!$F$35*((1+'Retirement Planning'!$J$24)^(YEAR('Projected Retirement Drawdown'!C285)-YEAR(TODAY())))</f>
        <v>11453.105575129326</v>
      </c>
      <c r="Z285" s="7">
        <f ca="1">G285+M285+O285+0.85*X285+V285*'Retirement Planning'!$J$46+T285</f>
        <v>12477.671708542957</v>
      </c>
      <c r="AA285" s="7">
        <f ca="1">IF(MONTH(C285)=1,(((MIN(MAX(0,((SUM(Z273:Z284)-'Retirement Planning'!$I$53-'Retirement Planning'!$I$54)-'Retirement Planning'!$J$51)*'Retirement Planning'!$I$52))))+(MIN(MAX(0,((SUM(Z273:Z284)-'Retirement Planning'!$I$53-'Retirement Planning'!$I$54)-'Retirement Planning'!$J$50)*'Retirement Planning'!$I$51),('Retirement Planning'!$J$51-'Retirement Planning'!$J$50)*'Retirement Planning'!$I$51))+(MIN(MAX(0,((SUM(Z273:Z284)-'Retirement Planning'!$I$53-'Retirement Planning'!$I$54)-'Retirement Planning'!$J$49)*'Retirement Planning'!$I$50),('Retirement Planning'!$J$50-'Retirement Planning'!$J$49)*'Retirement Planning'!$I$50)+MIN(MAX(0,((SUM(Z273:Z284)-'Retirement Planning'!$I$53-'Retirement Planning'!$I$54)-'Retirement Planning'!$J$48)*'Retirement Planning'!$I$49),('Retirement Planning'!$J$49-'Retirement Planning'!$J$48)*'Retirement Planning'!$I$49)+MIN(((SUM(Z273:Z284)-'Retirement Planning'!$I$53-'Retirement Planning'!$I$54))*'Retirement Planning'!$I$48,('Retirement Planning'!$J$48)*'Retirement Planning'!$I$48))+(IF((SUM(Z273:Z284)-'Retirement Planning'!$I$54-'Retirement Planning'!$I$61)&gt;'Retirement Planning'!$J$59,(SUM(Z273:Z284)-'Retirement Planning'!$I$54-'Retirement Planning'!$I$61-'Retirement Planning'!$J$59)*'Retirement Planning'!$I$60+'Retirement Planning'!$K$59,IF((SUM(Z273:Z284)-'Retirement Planning'!$I$54-'Retirement Planning'!$I$61)&gt;'Retirement Planning'!$J$58,(SUM(Z273:Z284)-'Retirement Planning'!$I$54-'Retirement Planning'!$I$61-'Retirement Planning'!$J$58)*'Retirement Planning'!$I$59+'Retirement Planning'!$K$58,IF((SUM(Z273:Z284)-'Retirement Planning'!$I$54-'Retirement Planning'!$I$61)&gt;'Retirement Planning'!$J$57,(SUM(Z273:Z284)-'Retirement Planning'!$I$54-'Retirement Planning'!$I$61-'Retirement Planning'!$J$57)*'Retirement Planning'!$I$58+'Retirement Planning'!$K$57,IF((SUM(Z273:Z284)-'Retirement Planning'!$I$54-'Retirement Planning'!$I$61)&gt;'Retirement Planning'!$J$56,(SUM(Z273:Z284)-'Retirement Planning'!$I$54-'Retirement Planning'!$I$61-'Retirement Planning'!$J$56)*'Retirement Planning'!$I$57+'Retirement Planning'!$K$56,(SUM(Z273:Z284)-'Retirement Planning'!$I$54-'Retirement Planning'!$I$61)*'Retirement Planning'!$I$56))))))/12,AA284)</f>
        <v>2983.9328271878408</v>
      </c>
      <c r="AB285" s="104">
        <f t="shared" ref="AB285" ca="1" si="130">SUM(AA285:AA296)/SUM(Z273:Z284)</f>
        <v>0.248162537677732</v>
      </c>
      <c r="AC285" s="7">
        <f>IF(B285&lt;65,'Retirement Planning'!$J$28,0)</f>
        <v>0</v>
      </c>
      <c r="AD285" s="7">
        <f>IF(B285&lt;65,'Retirement Planning'!$J$29/12,0)</f>
        <v>0</v>
      </c>
      <c r="AE285" s="22">
        <f>'Retirement Planning'!$J$31/12</f>
        <v>58.333333333333336</v>
      </c>
      <c r="AF285" s="22">
        <f>'Retirement Planning'!$J$32/12</f>
        <v>66.666666666666671</v>
      </c>
      <c r="AG285" s="7">
        <f>IF($B285&gt;64.9,'Retirement Planning'!$J$39/12,0)</f>
        <v>183.33333333333334</v>
      </c>
      <c r="AH285" s="7">
        <f>IF($B285&gt;64.9,'Retirement Planning'!$J$40/12,0)</f>
        <v>258.33333333333331</v>
      </c>
      <c r="AI285" s="7">
        <f>IF($B285&gt;64.9,'Retirement Planning'!$J$41/12,0)</f>
        <v>558.33333333333337</v>
      </c>
      <c r="AJ285" s="7">
        <f t="shared" ca="1" si="116"/>
        <v>316.66666666666663</v>
      </c>
      <c r="AK285" s="3" t="str">
        <f t="shared" ca="1" si="117"/>
        <v>N/A</v>
      </c>
      <c r="AL285" s="6" t="str">
        <f t="shared" ca="1" si="118"/>
        <v>N/A</v>
      </c>
      <c r="AM285" s="7">
        <f t="shared" ca="1" si="119"/>
        <v>1.1368683772161603E-12</v>
      </c>
      <c r="AN285" s="7">
        <f t="shared" ca="1" si="120"/>
        <v>15562.038402317166</v>
      </c>
      <c r="AO285" s="7">
        <f t="shared" si="121"/>
        <v>1125</v>
      </c>
    </row>
    <row r="286" spans="1:41" x14ac:dyDescent="0.2">
      <c r="A286">
        <f t="shared" si="122"/>
        <v>50</v>
      </c>
      <c r="B286" s="5">
        <f t="shared" si="123"/>
        <v>79.3</v>
      </c>
      <c r="C286" s="56">
        <f t="shared" si="124"/>
        <v>54820</v>
      </c>
      <c r="D286" s="57">
        <f ca="1">IF(AND(B285&lt;59.5,OR(B286&gt;59.5,B286=59.5)),(D285-E285+J285-K285)*(1+'Retirement Planning'!$J$23/12),(D285-E285)*(1+'Retirement Planning'!$J$23/12))</f>
        <v>603468.69599750557</v>
      </c>
      <c r="E286" s="58">
        <f t="shared" ca="1" si="111"/>
        <v>1513.7301400777415</v>
      </c>
      <c r="F286" s="57">
        <f ca="1">IF(AND(OR(B286&gt;59.5,B286=59.5),B285&lt;59.5),(F285-G285+L285-M285+N285-O285)*(1+'Retirement Planning'!$J$23/12),(F285-G285)*(1+'Retirement Planning'!$J$23/12))</f>
        <v>1413685.703139368</v>
      </c>
      <c r="G286" s="58">
        <f ca="1">IF(AND($B$10&lt;55,B286&lt;59.5),'Retirement Planning'!$J$25,IF(OR(B286&gt;59.5,B286=59.5),MAX(0,MIN(F286,IF(D286&lt;2500,((Y286+AJ286+AA286))-X286,((Y286+AJ286+AA286)*'Retirement Planning'!$J$44)-X286))),0))</f>
        <v>10736.901105876905</v>
      </c>
      <c r="H286" s="255">
        <f ca="1">IF(MONTH(C286)=1,IF(B286&gt;69.5,F286/(INDEX('Retirement Planning'!D$1:D$264,(160+INT(B286))))/12,0),IF(F286=0,0,H285))</f>
        <v>10339.761900679723</v>
      </c>
      <c r="I286" s="262">
        <f t="shared" ca="1" si="112"/>
        <v>0</v>
      </c>
      <c r="J286" s="254">
        <f ca="1">IF(AND(B285&lt;59.5,OR(B286=59.5,B286&gt;59.5)),0,(J285-K285)*(1+'Retirement Planning'!$J$23/12))</f>
        <v>0</v>
      </c>
      <c r="K286" s="58">
        <f t="shared" ca="1" si="113"/>
        <v>0</v>
      </c>
      <c r="L286" s="57">
        <f>IF(AND(OR(B286&gt;59.5,B286=59.5),B285&lt;59.5),0,(L285-M285)*(1+'Retirement Planning'!$J$23/12))</f>
        <v>0</v>
      </c>
      <c r="M286" s="59">
        <f>IF(AND($B$10&lt;55,B286&lt;59.5),0,IF(B286&lt;59.5,MAX(0,MIN((($Y286+$AJ286+AA286)*'Retirement Planning'!$J$44)-$G286-$X286,L286)),0))</f>
        <v>0</v>
      </c>
      <c r="N286" s="57">
        <f ca="1">(N285-O285)*(1+'Retirement Planning'!$J$23/12)</f>
        <v>0</v>
      </c>
      <c r="O286" s="59">
        <f ca="1">IF(B286&gt;59.5,MAX(0,MIN((AA286+$Y286+$AJ286)*(IF(D286&lt;(MIN(E274:E285)+1),1,'Retirement Planning'!$J$44))-M286-$G286-$X286-(IF(D286&lt;(MIN(E274:E285)+1),D286,0)),N286)),0)</f>
        <v>0</v>
      </c>
      <c r="P286" s="57">
        <f t="shared" si="125"/>
        <v>0</v>
      </c>
      <c r="Q286" s="58">
        <f t="shared" si="126"/>
        <v>0</v>
      </c>
      <c r="R286" s="57">
        <f ca="1">(R285-S285-T285)*(1+'Retirement Planning'!$J$23/12)</f>
        <v>732673.61241496587</v>
      </c>
      <c r="S286" s="58">
        <f t="shared" ca="1" si="127"/>
        <v>808.33333333333337</v>
      </c>
      <c r="T286" s="273">
        <f t="shared" ca="1" si="114"/>
        <v>0</v>
      </c>
      <c r="U286" s="57">
        <f ca="1">(U285-V285)*(1+'Retirement Planning'!$J$23/12)</f>
        <v>496621.41155153437</v>
      </c>
      <c r="V286" s="24">
        <f ca="1">IF(AND($B$10&lt;55,B286&lt;59.5),MIN(U286,MAX(0,(Y286+AA286+AJ286-G286)*'Retirement Planning'!$J$45)),IF(B286&lt;59.5,(MIN(U286,MAX(0,((Y286+AA286+AJ286)-G286-M286)*'Retirement Planning'!$J$45))),MIN(U286,MAX(0,(Y286+AA286+AJ286-G286-M286-K286-X286)*'Retirement Planning'!$J$45))))</f>
        <v>1289.4738230291866</v>
      </c>
      <c r="W286" s="7">
        <f t="shared" ca="1" si="115"/>
        <v>3246449.4231033735</v>
      </c>
      <c r="X286" s="7">
        <f>(IF(B286&gt;'Retirement Planning'!$J$34,IF('Retirement Planning'!$J$34=70,'Retirement Planning'!$J$37/12,IF('Retirement Planning'!$J$34=67,'Retirement Planning'!$J$36/12,'Retirement Planning'!$J$35/12)),0))*'Retirement Planning'!$J$38</f>
        <v>1213.6000000000001</v>
      </c>
      <c r="Y286" s="7">
        <f ca="1">'Retirement Planning'!$F$35*((1+'Retirement Planning'!$J$24)^(YEAR('Projected Retirement Drawdown'!C286)-YEAR(TODAY())))</f>
        <v>11453.105575129326</v>
      </c>
      <c r="Z286" s="7">
        <f ca="1">G286+M286+O286+0.85*X286+V286*'Retirement Planning'!$J$46+T286</f>
        <v>12477.671708542957</v>
      </c>
      <c r="AA286" s="7">
        <f ca="1">IF(MONTH(C286)=1,(((MIN(MAX(0,((SUM(Z274:Z285)-'Retirement Planning'!$I$53-'Retirement Planning'!$I$54)-'Retirement Planning'!$J$51)*'Retirement Planning'!$I$52))))+(MIN(MAX(0,((SUM(Z274:Z285)-'Retirement Planning'!$I$53-'Retirement Planning'!$I$54)-'Retirement Planning'!$J$50)*'Retirement Planning'!$I$51),('Retirement Planning'!$J$51-'Retirement Planning'!$J$50)*'Retirement Planning'!$I$51))+(MIN(MAX(0,((SUM(Z274:Z285)-'Retirement Planning'!$I$53-'Retirement Planning'!$I$54)-'Retirement Planning'!$J$49)*'Retirement Planning'!$I$50),('Retirement Planning'!$J$50-'Retirement Planning'!$J$49)*'Retirement Planning'!$I$50)+MIN(MAX(0,((SUM(Z274:Z285)-'Retirement Planning'!$I$53-'Retirement Planning'!$I$54)-'Retirement Planning'!$J$48)*'Retirement Planning'!$I$49),('Retirement Planning'!$J$49-'Retirement Planning'!$J$48)*'Retirement Planning'!$I$49)+MIN(((SUM(Z274:Z285)-'Retirement Planning'!$I$53-'Retirement Planning'!$I$54))*'Retirement Planning'!$I$48,('Retirement Planning'!$J$48)*'Retirement Planning'!$I$48))+(IF((SUM(Z274:Z285)-'Retirement Planning'!$I$54-'Retirement Planning'!$I$61)&gt;'Retirement Planning'!$J$59,(SUM(Z274:Z285)-'Retirement Planning'!$I$54-'Retirement Planning'!$I$61-'Retirement Planning'!$J$59)*'Retirement Planning'!$I$60+'Retirement Planning'!$K$59,IF((SUM(Z274:Z285)-'Retirement Planning'!$I$54-'Retirement Planning'!$I$61)&gt;'Retirement Planning'!$J$58,(SUM(Z274:Z285)-'Retirement Planning'!$I$54-'Retirement Planning'!$I$61-'Retirement Planning'!$J$58)*'Retirement Planning'!$I$59+'Retirement Planning'!$K$58,IF((SUM(Z274:Z285)-'Retirement Planning'!$I$54-'Retirement Planning'!$I$61)&gt;'Retirement Planning'!$J$57,(SUM(Z274:Z285)-'Retirement Planning'!$I$54-'Retirement Planning'!$I$61-'Retirement Planning'!$J$57)*'Retirement Planning'!$I$58+'Retirement Planning'!$K$57,IF((SUM(Z274:Z285)-'Retirement Planning'!$I$54-'Retirement Planning'!$I$61)&gt;'Retirement Planning'!$J$56,(SUM(Z274:Z285)-'Retirement Planning'!$I$54-'Retirement Planning'!$I$61-'Retirement Planning'!$J$56)*'Retirement Planning'!$I$57+'Retirement Planning'!$K$56,(SUM(Z274:Z285)-'Retirement Planning'!$I$54-'Retirement Planning'!$I$61)*'Retirement Planning'!$I$56))))))/12,AA285)</f>
        <v>2983.9328271878408</v>
      </c>
      <c r="AB286" s="104">
        <f t="shared" ref="AB286:AB349" ca="1" si="131">AB285</f>
        <v>0.248162537677732</v>
      </c>
      <c r="AC286" s="7">
        <f>IF(B286&lt;65,'Retirement Planning'!$J$28,0)</f>
        <v>0</v>
      </c>
      <c r="AD286" s="7">
        <f>IF(B286&lt;65,'Retirement Planning'!$J$29/12,0)</f>
        <v>0</v>
      </c>
      <c r="AE286" s="22">
        <f>'Retirement Planning'!$J$31/12</f>
        <v>58.333333333333336</v>
      </c>
      <c r="AF286" s="22">
        <f>'Retirement Planning'!$J$32/12</f>
        <v>66.666666666666671</v>
      </c>
      <c r="AG286" s="7">
        <f>IF($B286&gt;64.9,'Retirement Planning'!$J$39/12,0)</f>
        <v>183.33333333333334</v>
      </c>
      <c r="AH286" s="7">
        <f>IF($B286&gt;64.9,'Retirement Planning'!$J$40/12,0)</f>
        <v>258.33333333333331</v>
      </c>
      <c r="AI286" s="7">
        <f>IF($B286&gt;64.9,'Retirement Planning'!$J$41/12,0)</f>
        <v>558.33333333333337</v>
      </c>
      <c r="AJ286" s="7">
        <f t="shared" ca="1" si="116"/>
        <v>316.66666666666663</v>
      </c>
      <c r="AK286" s="3" t="str">
        <f t="shared" ca="1" si="117"/>
        <v>N/A</v>
      </c>
      <c r="AL286" s="6" t="str">
        <f t="shared" ca="1" si="118"/>
        <v>N/A</v>
      </c>
      <c r="AM286" s="7">
        <f t="shared" ca="1" si="119"/>
        <v>1.1368683772161603E-12</v>
      </c>
      <c r="AN286" s="7">
        <f t="shared" ca="1" si="120"/>
        <v>15562.038402317166</v>
      </c>
      <c r="AO286" s="7">
        <f t="shared" si="121"/>
        <v>1125</v>
      </c>
    </row>
    <row r="287" spans="1:41" x14ac:dyDescent="0.2">
      <c r="A287">
        <f t="shared" si="122"/>
        <v>50</v>
      </c>
      <c r="B287" s="5">
        <f t="shared" si="123"/>
        <v>79.400000000000006</v>
      </c>
      <c r="C287" s="56">
        <f t="shared" si="124"/>
        <v>54848</v>
      </c>
      <c r="D287" s="57">
        <f ca="1">IF(AND(B286&lt;59.5,OR(B287&gt;59.5,B287=59.5)),(D286-E286+J286-K286)*(1+'Retirement Planning'!$J$23/12),(D286-E286)*(1+'Retirement Planning'!$J$23/12))</f>
        <v>606218.81353225128</v>
      </c>
      <c r="E287" s="58">
        <f t="shared" ca="1" si="111"/>
        <v>1513.7301400777415</v>
      </c>
      <c r="F287" s="57">
        <f ca="1">IF(AND(OR(B287&gt;59.5,B287=59.5),B286&lt;59.5),(F286-G286+L286-M286+N286-O286)*(1+'Retirement Planning'!$J$23/12),(F286-G286)*(1+'Retirement Planning'!$J$23/12))</f>
        <v>1412886.3560478948</v>
      </c>
      <c r="G287" s="58">
        <f ca="1">IF(AND($B$10&lt;55,B287&lt;59.5),'Retirement Planning'!$J$25,IF(OR(B287&gt;59.5,B287=59.5),MAX(0,MIN(F287,IF(D287&lt;2500,((Y287+AJ287+AA287))-X287,((Y287+AJ287+AA287)*'Retirement Planning'!$J$44)-X287))),0))</f>
        <v>10736.901105876905</v>
      </c>
      <c r="H287" s="255">
        <f ca="1">IF(MONTH(C287)=1,IF(B287&gt;69.5,F287/(INDEX('Retirement Planning'!D$1:D$264,(160+INT(B287))))/12,0),IF(F287=0,0,H286))</f>
        <v>10339.761900679723</v>
      </c>
      <c r="I287" s="262">
        <f t="shared" ca="1" si="112"/>
        <v>0</v>
      </c>
      <c r="J287" s="254">
        <f ca="1">IF(AND(B286&lt;59.5,OR(B287=59.5,B287&gt;59.5)),0,(J286-K286)*(1+'Retirement Planning'!$J$23/12))</f>
        <v>0</v>
      </c>
      <c r="K287" s="58">
        <f t="shared" ca="1" si="113"/>
        <v>0</v>
      </c>
      <c r="L287" s="57">
        <f>IF(AND(OR(B287&gt;59.5,B287=59.5),B286&lt;59.5),0,(L286-M286)*(1+'Retirement Planning'!$J$23/12))</f>
        <v>0</v>
      </c>
      <c r="M287" s="59">
        <f>IF(AND($B$10&lt;55,B287&lt;59.5),0,IF(B287&lt;59.5,MAX(0,MIN((($Y287+$AJ287+AA287)*'Retirement Planning'!$J$44)-$G287-$X287,L287)),0))</f>
        <v>0</v>
      </c>
      <c r="N287" s="57">
        <f ca="1">(N286-O286)*(1+'Retirement Planning'!$J$23/12)</f>
        <v>0</v>
      </c>
      <c r="O287" s="59">
        <f ca="1">IF(B287&gt;59.5,MAX(0,MIN((AA287+$Y287+$AJ287)*(IF(D287&lt;(MIN(E275:E286)+1),1,'Retirement Planning'!$J$44))-M287-$G287-$X287-(IF(D287&lt;(MIN(E275:E286)+1),D287,0)),N287)),0)</f>
        <v>0</v>
      </c>
      <c r="P287" s="57">
        <f t="shared" si="125"/>
        <v>0</v>
      </c>
      <c r="Q287" s="58">
        <f t="shared" si="126"/>
        <v>0</v>
      </c>
      <c r="R287" s="57">
        <f ca="1">(R286-S286-T286)*(1+'Retirement Planning'!$J$23/12)</f>
        <v>737049.32480846078</v>
      </c>
      <c r="S287" s="58">
        <f t="shared" ca="1" si="127"/>
        <v>808.33333333333337</v>
      </c>
      <c r="T287" s="273">
        <f t="shared" ca="1" si="114"/>
        <v>0</v>
      </c>
      <c r="U287" s="57">
        <f ca="1">(U286-V286)*(1+'Retirement Planning'!$J$23/12)</f>
        <v>498840.53895408206</v>
      </c>
      <c r="V287" s="24">
        <f ca="1">IF(AND($B$10&lt;55,B287&lt;59.5),MIN(U287,MAX(0,(Y287+AA287+AJ287-G287)*'Retirement Planning'!$J$45)),IF(B287&lt;59.5,(MIN(U287,MAX(0,((Y287+AA287+AJ287)-G287-M287)*'Retirement Planning'!$J$45))),MIN(U287,MAX(0,(Y287+AA287+AJ287-G287-M287-K287-X287)*'Retirement Planning'!$J$45))))</f>
        <v>1289.4738230291866</v>
      </c>
      <c r="W287" s="7">
        <f t="shared" ca="1" si="115"/>
        <v>3254995.0333426888</v>
      </c>
      <c r="X287" s="7">
        <f>(IF(B287&gt;'Retirement Planning'!$J$34,IF('Retirement Planning'!$J$34=70,'Retirement Planning'!$J$37/12,IF('Retirement Planning'!$J$34=67,'Retirement Planning'!$J$36/12,'Retirement Planning'!$J$35/12)),0))*'Retirement Planning'!$J$38</f>
        <v>1213.6000000000001</v>
      </c>
      <c r="Y287" s="7">
        <f ca="1">'Retirement Planning'!$F$35*((1+'Retirement Planning'!$J$24)^(YEAR('Projected Retirement Drawdown'!C287)-YEAR(TODAY())))</f>
        <v>11453.105575129326</v>
      </c>
      <c r="Z287" s="7">
        <f ca="1">G287+M287+O287+0.85*X287+V287*'Retirement Planning'!$J$46+T287</f>
        <v>12477.671708542957</v>
      </c>
      <c r="AA287" s="7">
        <f ca="1">IF(MONTH(C287)=1,(((MIN(MAX(0,((SUM(Z275:Z286)-'Retirement Planning'!$I$53-'Retirement Planning'!$I$54)-'Retirement Planning'!$J$51)*'Retirement Planning'!$I$52))))+(MIN(MAX(0,((SUM(Z275:Z286)-'Retirement Planning'!$I$53-'Retirement Planning'!$I$54)-'Retirement Planning'!$J$50)*'Retirement Planning'!$I$51),('Retirement Planning'!$J$51-'Retirement Planning'!$J$50)*'Retirement Planning'!$I$51))+(MIN(MAX(0,((SUM(Z275:Z286)-'Retirement Planning'!$I$53-'Retirement Planning'!$I$54)-'Retirement Planning'!$J$49)*'Retirement Planning'!$I$50),('Retirement Planning'!$J$50-'Retirement Planning'!$J$49)*'Retirement Planning'!$I$50)+MIN(MAX(0,((SUM(Z275:Z286)-'Retirement Planning'!$I$53-'Retirement Planning'!$I$54)-'Retirement Planning'!$J$48)*'Retirement Planning'!$I$49),('Retirement Planning'!$J$49-'Retirement Planning'!$J$48)*'Retirement Planning'!$I$49)+MIN(((SUM(Z275:Z286)-'Retirement Planning'!$I$53-'Retirement Planning'!$I$54))*'Retirement Planning'!$I$48,('Retirement Planning'!$J$48)*'Retirement Planning'!$I$48))+(IF((SUM(Z275:Z286)-'Retirement Planning'!$I$54-'Retirement Planning'!$I$61)&gt;'Retirement Planning'!$J$59,(SUM(Z275:Z286)-'Retirement Planning'!$I$54-'Retirement Planning'!$I$61-'Retirement Planning'!$J$59)*'Retirement Planning'!$I$60+'Retirement Planning'!$K$59,IF((SUM(Z275:Z286)-'Retirement Planning'!$I$54-'Retirement Planning'!$I$61)&gt;'Retirement Planning'!$J$58,(SUM(Z275:Z286)-'Retirement Planning'!$I$54-'Retirement Planning'!$I$61-'Retirement Planning'!$J$58)*'Retirement Planning'!$I$59+'Retirement Planning'!$K$58,IF((SUM(Z275:Z286)-'Retirement Planning'!$I$54-'Retirement Planning'!$I$61)&gt;'Retirement Planning'!$J$57,(SUM(Z275:Z286)-'Retirement Planning'!$I$54-'Retirement Planning'!$I$61-'Retirement Planning'!$J$57)*'Retirement Planning'!$I$58+'Retirement Planning'!$K$57,IF((SUM(Z275:Z286)-'Retirement Planning'!$I$54-'Retirement Planning'!$I$61)&gt;'Retirement Planning'!$J$56,(SUM(Z275:Z286)-'Retirement Planning'!$I$54-'Retirement Planning'!$I$61-'Retirement Planning'!$J$56)*'Retirement Planning'!$I$57+'Retirement Planning'!$K$56,(SUM(Z275:Z286)-'Retirement Planning'!$I$54-'Retirement Planning'!$I$61)*'Retirement Planning'!$I$56))))))/12,AA286)</f>
        <v>2983.9328271878408</v>
      </c>
      <c r="AB287" s="104">
        <f t="shared" ca="1" si="106"/>
        <v>0.248162537677732</v>
      </c>
      <c r="AC287" s="7">
        <f>IF(B287&lt;65,'Retirement Planning'!$J$28,0)</f>
        <v>0</v>
      </c>
      <c r="AD287" s="7">
        <f>IF(B287&lt;65,'Retirement Planning'!$J$29/12,0)</f>
        <v>0</v>
      </c>
      <c r="AE287" s="22">
        <f>'Retirement Planning'!$J$31/12</f>
        <v>58.333333333333336</v>
      </c>
      <c r="AF287" s="22">
        <f>'Retirement Planning'!$J$32/12</f>
        <v>66.666666666666671</v>
      </c>
      <c r="AG287" s="7">
        <f>IF($B287&gt;64.9,'Retirement Planning'!$J$39/12,0)</f>
        <v>183.33333333333334</v>
      </c>
      <c r="AH287" s="7">
        <f>IF($B287&gt;64.9,'Retirement Planning'!$J$40/12,0)</f>
        <v>258.33333333333331</v>
      </c>
      <c r="AI287" s="7">
        <f>IF($B287&gt;64.9,'Retirement Planning'!$J$41/12,0)</f>
        <v>558.33333333333337</v>
      </c>
      <c r="AJ287" s="7">
        <f t="shared" ca="1" si="116"/>
        <v>316.66666666666663</v>
      </c>
      <c r="AK287" s="3" t="str">
        <f t="shared" ca="1" si="117"/>
        <v>N/A</v>
      </c>
      <c r="AL287" s="6" t="str">
        <f t="shared" ca="1" si="118"/>
        <v>N/A</v>
      </c>
      <c r="AM287" s="7">
        <f t="shared" ca="1" si="119"/>
        <v>1.1368683772161603E-12</v>
      </c>
      <c r="AN287" s="7">
        <f t="shared" ca="1" si="120"/>
        <v>15562.038402317166</v>
      </c>
      <c r="AO287" s="7">
        <f t="shared" si="121"/>
        <v>1125</v>
      </c>
    </row>
    <row r="288" spans="1:41" x14ac:dyDescent="0.2">
      <c r="A288">
        <f t="shared" si="122"/>
        <v>50</v>
      </c>
      <c r="B288" s="5">
        <f t="shared" si="123"/>
        <v>79.5</v>
      </c>
      <c r="C288" s="56">
        <f t="shared" si="124"/>
        <v>54879</v>
      </c>
      <c r="D288" s="57">
        <f ca="1">IF(AND(B287&lt;59.5,OR(B288&gt;59.5,B288=59.5)),(D287-E287+J287-K287)*(1+'Retirement Planning'!$J$23/12),(D287-E287)*(1+'Retirement Planning'!$J$23/12))</f>
        <v>608988.4110662014</v>
      </c>
      <c r="E288" s="58">
        <f t="shared" ca="1" si="111"/>
        <v>1513.7301400777415</v>
      </c>
      <c r="F288" s="57">
        <f ca="1">IF(AND(OR(B288&gt;59.5,B288=59.5),B287&lt;59.5),(F287-G287+L287-M287+N287-O287)*(1+'Retirement Planning'!$J$23/12),(F287-G287)*(1+'Retirement Planning'!$J$23/12))</f>
        <v>1412081.3469145237</v>
      </c>
      <c r="G288" s="58">
        <f ca="1">IF(AND($B$10&lt;55,B288&lt;59.5),'Retirement Planning'!$J$25,IF(OR(B288&gt;59.5,B288=59.5),MAX(0,MIN(F288,IF(D288&lt;2500,((Y288+AJ288+AA288))-X288,((Y288+AJ288+AA288)*'Retirement Planning'!$J$44)-X288))),0))</f>
        <v>10736.901105876905</v>
      </c>
      <c r="H288" s="255">
        <f ca="1">IF(MONTH(C288)=1,IF(B288&gt;69.5,F288/(INDEX('Retirement Planning'!D$1:D$264,(160+INT(B288))))/12,0),IF(F288=0,0,H287))</f>
        <v>10339.761900679723</v>
      </c>
      <c r="I288" s="262">
        <f t="shared" ca="1" si="112"/>
        <v>0</v>
      </c>
      <c r="J288" s="254">
        <f ca="1">IF(AND(B287&lt;59.5,OR(B288=59.5,B288&gt;59.5)),0,(J287-K287)*(1+'Retirement Planning'!$J$23/12))</f>
        <v>0</v>
      </c>
      <c r="K288" s="58">
        <f t="shared" ca="1" si="113"/>
        <v>0</v>
      </c>
      <c r="L288" s="57">
        <f>IF(AND(OR(B288&gt;59.5,B288=59.5),B287&lt;59.5),0,(L287-M287)*(1+'Retirement Planning'!$J$23/12))</f>
        <v>0</v>
      </c>
      <c r="M288" s="59">
        <f>IF(AND($B$10&lt;55,B288&lt;59.5),0,IF(B288&lt;59.5,MAX(0,MIN((($Y288+$AJ288+AA288)*'Retirement Planning'!$J$44)-$G288-$X288,L288)),0))</f>
        <v>0</v>
      </c>
      <c r="N288" s="57">
        <f ca="1">(N287-O287)*(1+'Retirement Planning'!$J$23/12)</f>
        <v>0</v>
      </c>
      <c r="O288" s="59">
        <f ca="1">IF(B288&gt;59.5,MAX(0,MIN((AA288+$Y288+$AJ288)*(IF(D288&lt;(MIN(E276:E287)+1),1,'Retirement Planning'!$J$44))-M288-$G288-$X288-(IF(D288&lt;(MIN(E276:E287)+1),D288,0)),N288)),0)</f>
        <v>0</v>
      </c>
      <c r="P288" s="57">
        <f t="shared" si="125"/>
        <v>0</v>
      </c>
      <c r="Q288" s="58">
        <f t="shared" si="126"/>
        <v>0</v>
      </c>
      <c r="R288" s="57">
        <f ca="1">(R287-S287-T287)*(1+'Retirement Planning'!$J$23/12)</f>
        <v>741456.03183140955</v>
      </c>
      <c r="S288" s="58">
        <f t="shared" ca="1" si="127"/>
        <v>808.33333333333337</v>
      </c>
      <c r="T288" s="273">
        <f t="shared" ca="1" si="114"/>
        <v>0</v>
      </c>
      <c r="U288" s="57">
        <f ca="1">(U287-V287)*(1+'Retirement Planning'!$J$23/12)</f>
        <v>501075.38517573115</v>
      </c>
      <c r="V288" s="24">
        <f ca="1">IF(AND($B$10&lt;55,B288&lt;59.5),MIN(U288,MAX(0,(Y288+AA288+AJ288-G288)*'Retirement Planning'!$J$45)),IF(B288&lt;59.5,(MIN(U288,MAX(0,((Y288+AA288+AJ288)-G288-M288)*'Retirement Planning'!$J$45))),MIN(U288,MAX(0,(Y288+AA288+AJ288-G288-M288-K288-X288)*'Retirement Planning'!$J$45))))</f>
        <v>1289.4738230291866</v>
      </c>
      <c r="W288" s="7">
        <f t="shared" ca="1" si="115"/>
        <v>3263601.1749878656</v>
      </c>
      <c r="X288" s="7">
        <f>(IF(B288&gt;'Retirement Planning'!$J$34,IF('Retirement Planning'!$J$34=70,'Retirement Planning'!$J$37/12,IF('Retirement Planning'!$J$34=67,'Retirement Planning'!$J$36/12,'Retirement Planning'!$J$35/12)),0))*'Retirement Planning'!$J$38</f>
        <v>1213.6000000000001</v>
      </c>
      <c r="Y288" s="7">
        <f ca="1">'Retirement Planning'!$F$35*((1+'Retirement Planning'!$J$24)^(YEAR('Projected Retirement Drawdown'!C288)-YEAR(TODAY())))</f>
        <v>11453.105575129326</v>
      </c>
      <c r="Z288" s="7">
        <f ca="1">G288+M288+O288+0.85*X288+V288*'Retirement Planning'!$J$46+T288</f>
        <v>12477.671708542957</v>
      </c>
      <c r="AA288" s="7">
        <f ca="1">IF(MONTH(C288)=1,(((MIN(MAX(0,((SUM(Z276:Z287)-'Retirement Planning'!$I$53-'Retirement Planning'!$I$54)-'Retirement Planning'!$J$51)*'Retirement Planning'!$I$52))))+(MIN(MAX(0,((SUM(Z276:Z287)-'Retirement Planning'!$I$53-'Retirement Planning'!$I$54)-'Retirement Planning'!$J$50)*'Retirement Planning'!$I$51),('Retirement Planning'!$J$51-'Retirement Planning'!$J$50)*'Retirement Planning'!$I$51))+(MIN(MAX(0,((SUM(Z276:Z287)-'Retirement Planning'!$I$53-'Retirement Planning'!$I$54)-'Retirement Planning'!$J$49)*'Retirement Planning'!$I$50),('Retirement Planning'!$J$50-'Retirement Planning'!$J$49)*'Retirement Planning'!$I$50)+MIN(MAX(0,((SUM(Z276:Z287)-'Retirement Planning'!$I$53-'Retirement Planning'!$I$54)-'Retirement Planning'!$J$48)*'Retirement Planning'!$I$49),('Retirement Planning'!$J$49-'Retirement Planning'!$J$48)*'Retirement Planning'!$I$49)+MIN(((SUM(Z276:Z287)-'Retirement Planning'!$I$53-'Retirement Planning'!$I$54))*'Retirement Planning'!$I$48,('Retirement Planning'!$J$48)*'Retirement Planning'!$I$48))+(IF((SUM(Z276:Z287)-'Retirement Planning'!$I$54-'Retirement Planning'!$I$61)&gt;'Retirement Planning'!$J$59,(SUM(Z276:Z287)-'Retirement Planning'!$I$54-'Retirement Planning'!$I$61-'Retirement Planning'!$J$59)*'Retirement Planning'!$I$60+'Retirement Planning'!$K$59,IF((SUM(Z276:Z287)-'Retirement Planning'!$I$54-'Retirement Planning'!$I$61)&gt;'Retirement Planning'!$J$58,(SUM(Z276:Z287)-'Retirement Planning'!$I$54-'Retirement Planning'!$I$61-'Retirement Planning'!$J$58)*'Retirement Planning'!$I$59+'Retirement Planning'!$K$58,IF((SUM(Z276:Z287)-'Retirement Planning'!$I$54-'Retirement Planning'!$I$61)&gt;'Retirement Planning'!$J$57,(SUM(Z276:Z287)-'Retirement Planning'!$I$54-'Retirement Planning'!$I$61-'Retirement Planning'!$J$57)*'Retirement Planning'!$I$58+'Retirement Planning'!$K$57,IF((SUM(Z276:Z287)-'Retirement Planning'!$I$54-'Retirement Planning'!$I$61)&gt;'Retirement Planning'!$J$56,(SUM(Z276:Z287)-'Retirement Planning'!$I$54-'Retirement Planning'!$I$61-'Retirement Planning'!$J$56)*'Retirement Planning'!$I$57+'Retirement Planning'!$K$56,(SUM(Z276:Z287)-'Retirement Planning'!$I$54-'Retirement Planning'!$I$61)*'Retirement Planning'!$I$56))))))/12,AA287)</f>
        <v>2983.9328271878408</v>
      </c>
      <c r="AB288" s="104">
        <f t="shared" ca="1" si="106"/>
        <v>0.248162537677732</v>
      </c>
      <c r="AC288" s="7">
        <f>IF(B288&lt;65,'Retirement Planning'!$J$28,0)</f>
        <v>0</v>
      </c>
      <c r="AD288" s="7">
        <f>IF(B288&lt;65,'Retirement Planning'!$J$29/12,0)</f>
        <v>0</v>
      </c>
      <c r="AE288" s="22">
        <f>'Retirement Planning'!$J$31/12</f>
        <v>58.333333333333336</v>
      </c>
      <c r="AF288" s="22">
        <f>'Retirement Planning'!$J$32/12</f>
        <v>66.666666666666671</v>
      </c>
      <c r="AG288" s="7">
        <f>IF($B288&gt;64.9,'Retirement Planning'!$J$39/12,0)</f>
        <v>183.33333333333334</v>
      </c>
      <c r="AH288" s="7">
        <f>IF($B288&gt;64.9,'Retirement Planning'!$J$40/12,0)</f>
        <v>258.33333333333331</v>
      </c>
      <c r="AI288" s="7">
        <f>IF($B288&gt;64.9,'Retirement Planning'!$J$41/12,0)</f>
        <v>558.33333333333337</v>
      </c>
      <c r="AJ288" s="7">
        <f t="shared" ca="1" si="116"/>
        <v>316.66666666666663</v>
      </c>
      <c r="AK288" s="3" t="str">
        <f t="shared" ca="1" si="117"/>
        <v>N/A</v>
      </c>
      <c r="AL288" s="6" t="str">
        <f t="shared" ca="1" si="118"/>
        <v>N/A</v>
      </c>
      <c r="AM288" s="7">
        <f t="shared" ca="1" si="119"/>
        <v>1.1368683772161603E-12</v>
      </c>
      <c r="AN288" s="7">
        <f t="shared" ca="1" si="120"/>
        <v>15562.038402317166</v>
      </c>
      <c r="AO288" s="7">
        <f t="shared" si="121"/>
        <v>1125</v>
      </c>
    </row>
    <row r="289" spans="1:41" x14ac:dyDescent="0.2">
      <c r="A289">
        <f t="shared" si="122"/>
        <v>50</v>
      </c>
      <c r="B289" s="5">
        <f t="shared" si="123"/>
        <v>79.5</v>
      </c>
      <c r="C289" s="56">
        <f t="shared" si="124"/>
        <v>54909</v>
      </c>
      <c r="D289" s="57">
        <f ca="1">IF(AND(B288&lt;59.5,OR(B289&gt;59.5,B289=59.5)),(D288-E288+J288-K288)*(1+'Retirement Planning'!$J$23/12),(D288-E288)*(1+'Retirement Planning'!$J$23/12))</f>
        <v>611777.62658268365</v>
      </c>
      <c r="E289" s="58">
        <f t="shared" ca="1" si="111"/>
        <v>1513.7301400777415</v>
      </c>
      <c r="F289" s="57">
        <f ca="1">IF(AND(OR(B289&gt;59.5,B289=59.5),B288&lt;59.5),(F288-G288+L288-M288+N288-O288)*(1+'Retirement Planning'!$J$23/12),(F288-G288)*(1+'Retirement Planning'!$J$23/12))</f>
        <v>1411270.6356331247</v>
      </c>
      <c r="G289" s="58">
        <f ca="1">IF(AND($B$10&lt;55,B289&lt;59.5),'Retirement Planning'!$J$25,IF(OR(B289&gt;59.5,B289=59.5),MAX(0,MIN(F289,IF(D289&lt;2500,((Y289+AJ289+AA289))-X289,((Y289+AJ289+AA289)*'Retirement Planning'!$J$44)-X289))),0))</f>
        <v>10736.901105876905</v>
      </c>
      <c r="H289" s="255">
        <f ca="1">IF(MONTH(C289)=1,IF(B289&gt;69.5,F289/(INDEX('Retirement Planning'!D$1:D$264,(160+INT(B289))))/12,0),IF(F289=0,0,H288))</f>
        <v>10339.761900679723</v>
      </c>
      <c r="I289" s="262">
        <f t="shared" ca="1" si="112"/>
        <v>0</v>
      </c>
      <c r="J289" s="254">
        <f ca="1">IF(AND(B288&lt;59.5,OR(B289=59.5,B289&gt;59.5)),0,(J288-K288)*(1+'Retirement Planning'!$J$23/12))</f>
        <v>0</v>
      </c>
      <c r="K289" s="58">
        <f t="shared" ca="1" si="113"/>
        <v>0</v>
      </c>
      <c r="L289" s="57">
        <f>IF(AND(OR(B289&gt;59.5,B289=59.5),B288&lt;59.5),0,(L288-M288)*(1+'Retirement Planning'!$J$23/12))</f>
        <v>0</v>
      </c>
      <c r="M289" s="59">
        <f>IF(AND($B$10&lt;55,B289&lt;59.5),0,IF(B289&lt;59.5,MAX(0,MIN((($Y289+$AJ289+AA289)*'Retirement Planning'!$J$44)-$G289-$X289,L289)),0))</f>
        <v>0</v>
      </c>
      <c r="N289" s="57">
        <f ca="1">(N288-O288)*(1+'Retirement Planning'!$J$23/12)</f>
        <v>0</v>
      </c>
      <c r="O289" s="59">
        <f ca="1">IF(B289&gt;59.5,MAX(0,MIN((AA289+$Y289+$AJ289)*(IF(D289&lt;(MIN(E277:E288)+1),1,'Retirement Planning'!$J$44))-M289-$G289-$X289-(IF(D289&lt;(MIN(E277:E288)+1),D289,0)),N289)),0)</f>
        <v>0</v>
      </c>
      <c r="P289" s="57">
        <f t="shared" si="125"/>
        <v>0</v>
      </c>
      <c r="Q289" s="58">
        <f t="shared" si="126"/>
        <v>0</v>
      </c>
      <c r="R289" s="57">
        <f ca="1">(R288-S288-T288)*(1+'Retirement Planning'!$J$23/12)</f>
        <v>745893.95302910416</v>
      </c>
      <c r="S289" s="58">
        <f t="shared" ca="1" si="127"/>
        <v>808.33333333333337</v>
      </c>
      <c r="T289" s="273">
        <f t="shared" ca="1" si="114"/>
        <v>0</v>
      </c>
      <c r="U289" s="57">
        <f ca="1">(U288-V288)*(1+'Retirement Planning'!$J$23/12)</f>
        <v>503326.06155811693</v>
      </c>
      <c r="V289" s="24">
        <f ca="1">IF(AND($B$10&lt;55,B289&lt;59.5),MIN(U289,MAX(0,(Y289+AA289+AJ289-G289)*'Retirement Planning'!$J$45)),IF(B289&lt;59.5,(MIN(U289,MAX(0,((Y289+AA289+AJ289)-G289-M289)*'Retirement Planning'!$J$45))),MIN(U289,MAX(0,(Y289+AA289+AJ289-G289-M289-K289-X289)*'Retirement Planning'!$J$45))))</f>
        <v>1289.4738230291866</v>
      </c>
      <c r="W289" s="7">
        <f t="shared" ca="1" si="115"/>
        <v>3272268.2768030297</v>
      </c>
      <c r="X289" s="7">
        <f>(IF(B289&gt;'Retirement Planning'!$J$34,IF('Retirement Planning'!$J$34=70,'Retirement Planning'!$J$37/12,IF('Retirement Planning'!$J$34=67,'Retirement Planning'!$J$36/12,'Retirement Planning'!$J$35/12)),0))*'Retirement Planning'!$J$38</f>
        <v>1213.6000000000001</v>
      </c>
      <c r="Y289" s="7">
        <f ca="1">'Retirement Planning'!$F$35*((1+'Retirement Planning'!$J$24)^(YEAR('Projected Retirement Drawdown'!C289)-YEAR(TODAY())))</f>
        <v>11453.105575129326</v>
      </c>
      <c r="Z289" s="7">
        <f ca="1">G289+M289+O289+0.85*X289+V289*'Retirement Planning'!$J$46+T289</f>
        <v>12477.671708542957</v>
      </c>
      <c r="AA289" s="7">
        <f ca="1">IF(MONTH(C289)=1,(((MIN(MAX(0,((SUM(Z277:Z288)-'Retirement Planning'!$I$53-'Retirement Planning'!$I$54)-'Retirement Planning'!$J$51)*'Retirement Planning'!$I$52))))+(MIN(MAX(0,((SUM(Z277:Z288)-'Retirement Planning'!$I$53-'Retirement Planning'!$I$54)-'Retirement Planning'!$J$50)*'Retirement Planning'!$I$51),('Retirement Planning'!$J$51-'Retirement Planning'!$J$50)*'Retirement Planning'!$I$51))+(MIN(MAX(0,((SUM(Z277:Z288)-'Retirement Planning'!$I$53-'Retirement Planning'!$I$54)-'Retirement Planning'!$J$49)*'Retirement Planning'!$I$50),('Retirement Planning'!$J$50-'Retirement Planning'!$J$49)*'Retirement Planning'!$I$50)+MIN(MAX(0,((SUM(Z277:Z288)-'Retirement Planning'!$I$53-'Retirement Planning'!$I$54)-'Retirement Planning'!$J$48)*'Retirement Planning'!$I$49),('Retirement Planning'!$J$49-'Retirement Planning'!$J$48)*'Retirement Planning'!$I$49)+MIN(((SUM(Z277:Z288)-'Retirement Planning'!$I$53-'Retirement Planning'!$I$54))*'Retirement Planning'!$I$48,('Retirement Planning'!$J$48)*'Retirement Planning'!$I$48))+(IF((SUM(Z277:Z288)-'Retirement Planning'!$I$54-'Retirement Planning'!$I$61)&gt;'Retirement Planning'!$J$59,(SUM(Z277:Z288)-'Retirement Planning'!$I$54-'Retirement Planning'!$I$61-'Retirement Planning'!$J$59)*'Retirement Planning'!$I$60+'Retirement Planning'!$K$59,IF((SUM(Z277:Z288)-'Retirement Planning'!$I$54-'Retirement Planning'!$I$61)&gt;'Retirement Planning'!$J$58,(SUM(Z277:Z288)-'Retirement Planning'!$I$54-'Retirement Planning'!$I$61-'Retirement Planning'!$J$58)*'Retirement Planning'!$I$59+'Retirement Planning'!$K$58,IF((SUM(Z277:Z288)-'Retirement Planning'!$I$54-'Retirement Planning'!$I$61)&gt;'Retirement Planning'!$J$57,(SUM(Z277:Z288)-'Retirement Planning'!$I$54-'Retirement Planning'!$I$61-'Retirement Planning'!$J$57)*'Retirement Planning'!$I$58+'Retirement Planning'!$K$57,IF((SUM(Z277:Z288)-'Retirement Planning'!$I$54-'Retirement Planning'!$I$61)&gt;'Retirement Planning'!$J$56,(SUM(Z277:Z288)-'Retirement Planning'!$I$54-'Retirement Planning'!$I$61-'Retirement Planning'!$J$56)*'Retirement Planning'!$I$57+'Retirement Planning'!$K$56,(SUM(Z277:Z288)-'Retirement Planning'!$I$54-'Retirement Planning'!$I$61)*'Retirement Planning'!$I$56))))))/12,AA288)</f>
        <v>2983.9328271878408</v>
      </c>
      <c r="AB289" s="104">
        <f t="shared" ca="1" si="106"/>
        <v>0.248162537677732</v>
      </c>
      <c r="AC289" s="7">
        <f>IF(B289&lt;65,'Retirement Planning'!$J$28,0)</f>
        <v>0</v>
      </c>
      <c r="AD289" s="7">
        <f>IF(B289&lt;65,'Retirement Planning'!$J$29/12,0)</f>
        <v>0</v>
      </c>
      <c r="AE289" s="22">
        <f>'Retirement Planning'!$J$31/12</f>
        <v>58.333333333333336</v>
      </c>
      <c r="AF289" s="22">
        <f>'Retirement Planning'!$J$32/12</f>
        <v>66.666666666666671</v>
      </c>
      <c r="AG289" s="7">
        <f>IF($B289&gt;64.9,'Retirement Planning'!$J$39/12,0)</f>
        <v>183.33333333333334</v>
      </c>
      <c r="AH289" s="7">
        <f>IF($B289&gt;64.9,'Retirement Planning'!$J$40/12,0)</f>
        <v>258.33333333333331</v>
      </c>
      <c r="AI289" s="7">
        <f>IF($B289&gt;64.9,'Retirement Planning'!$J$41/12,0)</f>
        <v>558.33333333333337</v>
      </c>
      <c r="AJ289" s="7">
        <f t="shared" ca="1" si="116"/>
        <v>316.66666666666663</v>
      </c>
      <c r="AK289" s="3" t="str">
        <f t="shared" ca="1" si="117"/>
        <v>N/A</v>
      </c>
      <c r="AL289" s="6" t="str">
        <f t="shared" ca="1" si="118"/>
        <v>N/A</v>
      </c>
      <c r="AM289" s="7">
        <f t="shared" ca="1" si="119"/>
        <v>1.1368683772161603E-12</v>
      </c>
      <c r="AN289" s="7">
        <f t="shared" ca="1" si="120"/>
        <v>15562.038402317166</v>
      </c>
      <c r="AO289" s="7">
        <f t="shared" si="121"/>
        <v>1125</v>
      </c>
    </row>
    <row r="290" spans="1:41" x14ac:dyDescent="0.2">
      <c r="A290">
        <f t="shared" si="122"/>
        <v>50</v>
      </c>
      <c r="B290" s="5">
        <f t="shared" si="123"/>
        <v>79.599999999999994</v>
      </c>
      <c r="C290" s="56">
        <f t="shared" si="124"/>
        <v>54940</v>
      </c>
      <c r="D290" s="57">
        <f ca="1">IF(AND(B289&lt;59.5,OR(B290&gt;59.5,B290=59.5)),(D289-E289+J289-K289)*(1+'Retirement Planning'!$J$23/12),(D289-E289)*(1+'Retirement Planning'!$J$23/12))</f>
        <v>614586.5990424077</v>
      </c>
      <c r="E290" s="58">
        <f t="shared" ca="1" si="111"/>
        <v>1513.7301400777415</v>
      </c>
      <c r="F290" s="57">
        <f ca="1">IF(AND(OR(B290&gt;59.5,B290=59.5),B289&lt;59.5),(F289-G289+L289-M289+N289-O289)*(1+'Retirement Planning'!$J$23/12),(F289-G289)*(1+'Retirement Planning'!$J$23/12))</f>
        <v>1410454.1818134824</v>
      </c>
      <c r="G290" s="58">
        <f ca="1">IF(AND($B$10&lt;55,B290&lt;59.5),'Retirement Planning'!$J$25,IF(OR(B290&gt;59.5,B290=59.5),MAX(0,MIN(F290,IF(D290&lt;2500,((Y290+AJ290+AA290))-X290,((Y290+AJ290+AA290)*'Retirement Planning'!$J$44)-X290))),0))</f>
        <v>10736.901105876905</v>
      </c>
      <c r="H290" s="255">
        <f ca="1">IF(MONTH(C290)=1,IF(B290&gt;69.5,F290/(INDEX('Retirement Planning'!D$1:D$264,(160+INT(B290))))/12,0),IF(F290=0,0,H289))</f>
        <v>10339.761900679723</v>
      </c>
      <c r="I290" s="262">
        <f t="shared" ca="1" si="112"/>
        <v>0</v>
      </c>
      <c r="J290" s="254">
        <f ca="1">IF(AND(B289&lt;59.5,OR(B290=59.5,B290&gt;59.5)),0,(J289-K289)*(1+'Retirement Planning'!$J$23/12))</f>
        <v>0</v>
      </c>
      <c r="K290" s="58">
        <f t="shared" ca="1" si="113"/>
        <v>0</v>
      </c>
      <c r="L290" s="57">
        <f>IF(AND(OR(B290&gt;59.5,B290=59.5),B289&lt;59.5),0,(L289-M289)*(1+'Retirement Planning'!$J$23/12))</f>
        <v>0</v>
      </c>
      <c r="M290" s="59">
        <f>IF(AND($B$10&lt;55,B290&lt;59.5),0,IF(B290&lt;59.5,MAX(0,MIN((($Y290+$AJ290+AA290)*'Retirement Planning'!$J$44)-$G290-$X290,L290)),0))</f>
        <v>0</v>
      </c>
      <c r="N290" s="57">
        <f ca="1">(N289-O289)*(1+'Retirement Planning'!$J$23/12)</f>
        <v>0</v>
      </c>
      <c r="O290" s="59">
        <f ca="1">IF(B290&gt;59.5,MAX(0,MIN((AA290+$Y290+$AJ290)*(IF(D290&lt;(MIN(E278:E289)+1),1,'Retirement Planning'!$J$44))-M290-$G290-$X290-(IF(D290&lt;(MIN(E278:E289)+1),D290,0)),N290)),0)</f>
        <v>0</v>
      </c>
      <c r="P290" s="57">
        <f t="shared" si="125"/>
        <v>0</v>
      </c>
      <c r="Q290" s="58">
        <f t="shared" si="126"/>
        <v>0</v>
      </c>
      <c r="R290" s="57">
        <f ca="1">(R289-S289-T289)*(1+'Retirement Planning'!$J$23/12)</f>
        <v>750363.30950194912</v>
      </c>
      <c r="S290" s="58">
        <f t="shared" ca="1" si="127"/>
        <v>808.33333333333337</v>
      </c>
      <c r="T290" s="273">
        <f t="shared" ca="1" si="114"/>
        <v>0</v>
      </c>
      <c r="U290" s="57">
        <f ca="1">(U289-V289)*(1+'Retirement Planning'!$J$23/12)</f>
        <v>505592.6802315446</v>
      </c>
      <c r="V290" s="24">
        <f ca="1">IF(AND($B$10&lt;55,B290&lt;59.5),MIN(U290,MAX(0,(Y290+AA290+AJ290-G290)*'Retirement Planning'!$J$45)),IF(B290&lt;59.5,(MIN(U290,MAX(0,((Y290+AA290+AJ290)-G290-M290)*'Retirement Planning'!$J$45))),MIN(U290,MAX(0,(Y290+AA290+AJ290-G290-M290-K290-X290)*'Retirement Planning'!$J$45))))</f>
        <v>1289.4738230291866</v>
      </c>
      <c r="W290" s="7">
        <f t="shared" ca="1" si="115"/>
        <v>3280996.7705893838</v>
      </c>
      <c r="X290" s="7">
        <f>(IF(B290&gt;'Retirement Planning'!$J$34,IF('Retirement Planning'!$J$34=70,'Retirement Planning'!$J$37/12,IF('Retirement Planning'!$J$34=67,'Retirement Planning'!$J$36/12,'Retirement Planning'!$J$35/12)),0))*'Retirement Planning'!$J$38</f>
        <v>1213.6000000000001</v>
      </c>
      <c r="Y290" s="7">
        <f ca="1">'Retirement Planning'!$F$35*((1+'Retirement Planning'!$J$24)^(YEAR('Projected Retirement Drawdown'!C290)-YEAR(TODAY())))</f>
        <v>11453.105575129326</v>
      </c>
      <c r="Z290" s="7">
        <f ca="1">G290+M290+O290+0.85*X290+V290*'Retirement Planning'!$J$46+T290</f>
        <v>12477.671708542957</v>
      </c>
      <c r="AA290" s="7">
        <f ca="1">IF(MONTH(C290)=1,(((MIN(MAX(0,((SUM(Z278:Z289)-'Retirement Planning'!$I$53-'Retirement Planning'!$I$54)-'Retirement Planning'!$J$51)*'Retirement Planning'!$I$52))))+(MIN(MAX(0,((SUM(Z278:Z289)-'Retirement Planning'!$I$53-'Retirement Planning'!$I$54)-'Retirement Planning'!$J$50)*'Retirement Planning'!$I$51),('Retirement Planning'!$J$51-'Retirement Planning'!$J$50)*'Retirement Planning'!$I$51))+(MIN(MAX(0,((SUM(Z278:Z289)-'Retirement Planning'!$I$53-'Retirement Planning'!$I$54)-'Retirement Planning'!$J$49)*'Retirement Planning'!$I$50),('Retirement Planning'!$J$50-'Retirement Planning'!$J$49)*'Retirement Planning'!$I$50)+MIN(MAX(0,((SUM(Z278:Z289)-'Retirement Planning'!$I$53-'Retirement Planning'!$I$54)-'Retirement Planning'!$J$48)*'Retirement Planning'!$I$49),('Retirement Planning'!$J$49-'Retirement Planning'!$J$48)*'Retirement Planning'!$I$49)+MIN(((SUM(Z278:Z289)-'Retirement Planning'!$I$53-'Retirement Planning'!$I$54))*'Retirement Planning'!$I$48,('Retirement Planning'!$J$48)*'Retirement Planning'!$I$48))+(IF((SUM(Z278:Z289)-'Retirement Planning'!$I$54-'Retirement Planning'!$I$61)&gt;'Retirement Planning'!$J$59,(SUM(Z278:Z289)-'Retirement Planning'!$I$54-'Retirement Planning'!$I$61-'Retirement Planning'!$J$59)*'Retirement Planning'!$I$60+'Retirement Planning'!$K$59,IF((SUM(Z278:Z289)-'Retirement Planning'!$I$54-'Retirement Planning'!$I$61)&gt;'Retirement Planning'!$J$58,(SUM(Z278:Z289)-'Retirement Planning'!$I$54-'Retirement Planning'!$I$61-'Retirement Planning'!$J$58)*'Retirement Planning'!$I$59+'Retirement Planning'!$K$58,IF((SUM(Z278:Z289)-'Retirement Planning'!$I$54-'Retirement Planning'!$I$61)&gt;'Retirement Planning'!$J$57,(SUM(Z278:Z289)-'Retirement Planning'!$I$54-'Retirement Planning'!$I$61-'Retirement Planning'!$J$57)*'Retirement Planning'!$I$58+'Retirement Planning'!$K$57,IF((SUM(Z278:Z289)-'Retirement Planning'!$I$54-'Retirement Planning'!$I$61)&gt;'Retirement Planning'!$J$56,(SUM(Z278:Z289)-'Retirement Planning'!$I$54-'Retirement Planning'!$I$61-'Retirement Planning'!$J$56)*'Retirement Planning'!$I$57+'Retirement Planning'!$K$56,(SUM(Z278:Z289)-'Retirement Planning'!$I$54-'Retirement Planning'!$I$61)*'Retirement Planning'!$I$56))))))/12,AA289)</f>
        <v>2983.9328271878408</v>
      </c>
      <c r="AB290" s="104">
        <f t="shared" ca="1" si="106"/>
        <v>0.248162537677732</v>
      </c>
      <c r="AC290" s="7">
        <f>IF(B290&lt;65,'Retirement Planning'!$J$28,0)</f>
        <v>0</v>
      </c>
      <c r="AD290" s="7">
        <f>IF(B290&lt;65,'Retirement Planning'!$J$29/12,0)</f>
        <v>0</v>
      </c>
      <c r="AE290" s="22">
        <f>'Retirement Planning'!$J$31/12</f>
        <v>58.333333333333336</v>
      </c>
      <c r="AF290" s="22">
        <f>'Retirement Planning'!$J$32/12</f>
        <v>66.666666666666671</v>
      </c>
      <c r="AG290" s="7">
        <f>IF($B290&gt;64.9,'Retirement Planning'!$J$39/12,0)</f>
        <v>183.33333333333334</v>
      </c>
      <c r="AH290" s="7">
        <f>IF($B290&gt;64.9,'Retirement Planning'!$J$40/12,0)</f>
        <v>258.33333333333331</v>
      </c>
      <c r="AI290" s="7">
        <f>IF($B290&gt;64.9,'Retirement Planning'!$J$41/12,0)</f>
        <v>558.33333333333337</v>
      </c>
      <c r="AJ290" s="7">
        <f t="shared" ca="1" si="116"/>
        <v>316.66666666666663</v>
      </c>
      <c r="AK290" s="3" t="str">
        <f t="shared" ca="1" si="117"/>
        <v>N/A</v>
      </c>
      <c r="AL290" s="6" t="str">
        <f t="shared" ca="1" si="118"/>
        <v>N/A</v>
      </c>
      <c r="AM290" s="7">
        <f t="shared" ca="1" si="119"/>
        <v>1.1368683772161603E-12</v>
      </c>
      <c r="AN290" s="7">
        <f t="shared" ca="1" si="120"/>
        <v>15562.038402317166</v>
      </c>
      <c r="AO290" s="7">
        <f t="shared" si="121"/>
        <v>1125</v>
      </c>
    </row>
    <row r="291" spans="1:41" x14ac:dyDescent="0.2">
      <c r="A291">
        <f t="shared" si="122"/>
        <v>50</v>
      </c>
      <c r="B291" s="5">
        <f t="shared" si="123"/>
        <v>79.7</v>
      </c>
      <c r="C291" s="56">
        <f t="shared" si="124"/>
        <v>54970</v>
      </c>
      <c r="D291" s="57">
        <f ca="1">IF(AND(B290&lt;59.5,OR(B291&gt;59.5,B291=59.5)),(D290-E290+J290-K290)*(1+'Retirement Planning'!$J$23/12),(D290-E290)*(1+'Retirement Planning'!$J$23/12))</f>
        <v>617415.46839038807</v>
      </c>
      <c r="E291" s="58">
        <f t="shared" ca="1" si="111"/>
        <v>1513.7301400777415</v>
      </c>
      <c r="F291" s="57">
        <f ca="1">IF(AND(OR(B291&gt;59.5,B291=59.5),B290&lt;59.5),(F290-G290+L290-M290+N290-O290)*(1+'Retirement Planning'!$J$23/12),(F290-G290)*(1+'Retirement Planning'!$J$23/12))</f>
        <v>1409631.9447792843</v>
      </c>
      <c r="G291" s="58">
        <f ca="1">IF(AND($B$10&lt;55,B291&lt;59.5),'Retirement Planning'!$J$25,IF(OR(B291&gt;59.5,B291=59.5),MAX(0,MIN(F291,IF(D291&lt;2500,((Y291+AJ291+AA291))-X291,((Y291+AJ291+AA291)*'Retirement Planning'!$J$44)-X291))),0))</f>
        <v>10736.901105876905</v>
      </c>
      <c r="H291" s="255">
        <f ca="1">IF(MONTH(C291)=1,IF(B291&gt;69.5,F291/(INDEX('Retirement Planning'!D$1:D$264,(160+INT(B291))))/12,0),IF(F291=0,0,H290))</f>
        <v>10339.761900679723</v>
      </c>
      <c r="I291" s="262">
        <f t="shared" ca="1" si="112"/>
        <v>0</v>
      </c>
      <c r="J291" s="254">
        <f ca="1">IF(AND(B290&lt;59.5,OR(B291=59.5,B291&gt;59.5)),0,(J290-K290)*(1+'Retirement Planning'!$J$23/12))</f>
        <v>0</v>
      </c>
      <c r="K291" s="58">
        <f t="shared" ca="1" si="113"/>
        <v>0</v>
      </c>
      <c r="L291" s="57">
        <f>IF(AND(OR(B291&gt;59.5,B291=59.5),B290&lt;59.5),0,(L290-M290)*(1+'Retirement Planning'!$J$23/12))</f>
        <v>0</v>
      </c>
      <c r="M291" s="59">
        <f>IF(AND($B$10&lt;55,B291&lt;59.5),0,IF(B291&lt;59.5,MAX(0,MIN((($Y291+$AJ291+AA291)*'Retirement Planning'!$J$44)-$G291-$X291,L291)),0))</f>
        <v>0</v>
      </c>
      <c r="N291" s="57">
        <f ca="1">(N290-O290)*(1+'Retirement Planning'!$J$23/12)</f>
        <v>0</v>
      </c>
      <c r="O291" s="59">
        <f ca="1">IF(B291&gt;59.5,MAX(0,MIN((AA291+$Y291+$AJ291)*(IF(D291&lt;(MIN(E279:E290)+1),1,'Retirement Planning'!$J$44))-M291-$G291-$X291-(IF(D291&lt;(MIN(E279:E290)+1),D291,0)),N291)),0)</f>
        <v>0</v>
      </c>
      <c r="P291" s="57">
        <f t="shared" si="125"/>
        <v>0</v>
      </c>
      <c r="Q291" s="58">
        <f t="shared" si="126"/>
        <v>0</v>
      </c>
      <c r="R291" s="57">
        <f ca="1">(R290-S290-T290)*(1+'Retirement Planning'!$J$23/12)</f>
        <v>754864.3239164768</v>
      </c>
      <c r="S291" s="58">
        <f t="shared" ca="1" si="127"/>
        <v>808.33333333333337</v>
      </c>
      <c r="T291" s="273">
        <f t="shared" ca="1" si="114"/>
        <v>0</v>
      </c>
      <c r="U291" s="57">
        <f ca="1">(U290-V290)*(1+'Retirement Planning'!$J$23/12)</f>
        <v>507875.35412057571</v>
      </c>
      <c r="V291" s="24">
        <f ca="1">IF(AND($B$10&lt;55,B291&lt;59.5),MIN(U291,MAX(0,(Y291+AA291+AJ291-G291)*'Retirement Planning'!$J$45)),IF(B291&lt;59.5,(MIN(U291,MAX(0,((Y291+AA291+AJ291)-G291-M291)*'Retirement Planning'!$J$45))),MIN(U291,MAX(0,(Y291+AA291+AJ291-G291-M291-K291-X291)*'Retirement Planning'!$J$45))))</f>
        <v>1289.4738230291866</v>
      </c>
      <c r="W291" s="7">
        <f t="shared" ca="1" si="115"/>
        <v>3289787.0912067248</v>
      </c>
      <c r="X291" s="7">
        <f>(IF(B291&gt;'Retirement Planning'!$J$34,IF('Retirement Planning'!$J$34=70,'Retirement Planning'!$J$37/12,IF('Retirement Planning'!$J$34=67,'Retirement Planning'!$J$36/12,'Retirement Planning'!$J$35/12)),0))*'Retirement Planning'!$J$38</f>
        <v>1213.6000000000001</v>
      </c>
      <c r="Y291" s="7">
        <f ca="1">'Retirement Planning'!$F$35*((1+'Retirement Planning'!$J$24)^(YEAR('Projected Retirement Drawdown'!C291)-YEAR(TODAY())))</f>
        <v>11453.105575129326</v>
      </c>
      <c r="Z291" s="7">
        <f ca="1">G291+M291+O291+0.85*X291+V291*'Retirement Planning'!$J$46+T291</f>
        <v>12477.671708542957</v>
      </c>
      <c r="AA291" s="7">
        <f ca="1">IF(MONTH(C291)=1,(((MIN(MAX(0,((SUM(Z279:Z290)-'Retirement Planning'!$I$53-'Retirement Planning'!$I$54)-'Retirement Planning'!$J$51)*'Retirement Planning'!$I$52))))+(MIN(MAX(0,((SUM(Z279:Z290)-'Retirement Planning'!$I$53-'Retirement Planning'!$I$54)-'Retirement Planning'!$J$50)*'Retirement Planning'!$I$51),('Retirement Planning'!$J$51-'Retirement Planning'!$J$50)*'Retirement Planning'!$I$51))+(MIN(MAX(0,((SUM(Z279:Z290)-'Retirement Planning'!$I$53-'Retirement Planning'!$I$54)-'Retirement Planning'!$J$49)*'Retirement Planning'!$I$50),('Retirement Planning'!$J$50-'Retirement Planning'!$J$49)*'Retirement Planning'!$I$50)+MIN(MAX(0,((SUM(Z279:Z290)-'Retirement Planning'!$I$53-'Retirement Planning'!$I$54)-'Retirement Planning'!$J$48)*'Retirement Planning'!$I$49),('Retirement Planning'!$J$49-'Retirement Planning'!$J$48)*'Retirement Planning'!$I$49)+MIN(((SUM(Z279:Z290)-'Retirement Planning'!$I$53-'Retirement Planning'!$I$54))*'Retirement Planning'!$I$48,('Retirement Planning'!$J$48)*'Retirement Planning'!$I$48))+(IF((SUM(Z279:Z290)-'Retirement Planning'!$I$54-'Retirement Planning'!$I$61)&gt;'Retirement Planning'!$J$59,(SUM(Z279:Z290)-'Retirement Planning'!$I$54-'Retirement Planning'!$I$61-'Retirement Planning'!$J$59)*'Retirement Planning'!$I$60+'Retirement Planning'!$K$59,IF((SUM(Z279:Z290)-'Retirement Planning'!$I$54-'Retirement Planning'!$I$61)&gt;'Retirement Planning'!$J$58,(SUM(Z279:Z290)-'Retirement Planning'!$I$54-'Retirement Planning'!$I$61-'Retirement Planning'!$J$58)*'Retirement Planning'!$I$59+'Retirement Planning'!$K$58,IF((SUM(Z279:Z290)-'Retirement Planning'!$I$54-'Retirement Planning'!$I$61)&gt;'Retirement Planning'!$J$57,(SUM(Z279:Z290)-'Retirement Planning'!$I$54-'Retirement Planning'!$I$61-'Retirement Planning'!$J$57)*'Retirement Planning'!$I$58+'Retirement Planning'!$K$57,IF((SUM(Z279:Z290)-'Retirement Planning'!$I$54-'Retirement Planning'!$I$61)&gt;'Retirement Planning'!$J$56,(SUM(Z279:Z290)-'Retirement Planning'!$I$54-'Retirement Planning'!$I$61-'Retirement Planning'!$J$56)*'Retirement Planning'!$I$57+'Retirement Planning'!$K$56,(SUM(Z279:Z290)-'Retirement Planning'!$I$54-'Retirement Planning'!$I$61)*'Retirement Planning'!$I$56))))))/12,AA290)</f>
        <v>2983.9328271878408</v>
      </c>
      <c r="AB291" s="104">
        <f t="shared" ca="1" si="106"/>
        <v>0.248162537677732</v>
      </c>
      <c r="AC291" s="7">
        <f>IF(B291&lt;65,'Retirement Planning'!$J$28,0)</f>
        <v>0</v>
      </c>
      <c r="AD291" s="7">
        <f>IF(B291&lt;65,'Retirement Planning'!$J$29/12,0)</f>
        <v>0</v>
      </c>
      <c r="AE291" s="22">
        <f>'Retirement Planning'!$J$31/12</f>
        <v>58.333333333333336</v>
      </c>
      <c r="AF291" s="22">
        <f>'Retirement Planning'!$J$32/12</f>
        <v>66.666666666666671</v>
      </c>
      <c r="AG291" s="7">
        <f>IF($B291&gt;64.9,'Retirement Planning'!$J$39/12,0)</f>
        <v>183.33333333333334</v>
      </c>
      <c r="AH291" s="7">
        <f>IF($B291&gt;64.9,'Retirement Planning'!$J$40/12,0)</f>
        <v>258.33333333333331</v>
      </c>
      <c r="AI291" s="7">
        <f>IF($B291&gt;64.9,'Retirement Planning'!$J$41/12,0)</f>
        <v>558.33333333333337</v>
      </c>
      <c r="AJ291" s="7">
        <f t="shared" ca="1" si="116"/>
        <v>316.66666666666663</v>
      </c>
      <c r="AK291" s="3" t="str">
        <f t="shared" ca="1" si="117"/>
        <v>N/A</v>
      </c>
      <c r="AL291" s="6" t="str">
        <f t="shared" ca="1" si="118"/>
        <v>N/A</v>
      </c>
      <c r="AM291" s="7">
        <f t="shared" ca="1" si="119"/>
        <v>1.1368683772161603E-12</v>
      </c>
      <c r="AN291" s="7">
        <f t="shared" ca="1" si="120"/>
        <v>15562.038402317166</v>
      </c>
      <c r="AO291" s="7">
        <f t="shared" si="121"/>
        <v>1125</v>
      </c>
    </row>
    <row r="292" spans="1:41" x14ac:dyDescent="0.2">
      <c r="A292">
        <f t="shared" si="122"/>
        <v>50</v>
      </c>
      <c r="B292" s="5">
        <f t="shared" si="123"/>
        <v>79.8</v>
      </c>
      <c r="C292" s="56">
        <f t="shared" si="124"/>
        <v>55001</v>
      </c>
      <c r="D292" s="57">
        <f ca="1">IF(AND(B291&lt;59.5,OR(B292&gt;59.5,B292=59.5)),(D291-E291+J291-K291)*(1+'Retirement Planning'!$J$23/12),(D291-E291)*(1+'Retirement Planning'!$J$23/12))</f>
        <v>620264.37556291663</v>
      </c>
      <c r="E292" s="58">
        <f t="shared" ca="1" si="111"/>
        <v>1513.7301400777415</v>
      </c>
      <c r="F292" s="57">
        <f ca="1">IF(AND(OR(B292&gt;59.5,B292=59.5),B291&lt;59.5),(F291-G291+L291-M291+N291-O291)*(1+'Retirement Planning'!$J$23/12),(F291-G291)*(1+'Retirement Planning'!$J$23/12))</f>
        <v>1408803.8835660939</v>
      </c>
      <c r="G292" s="58">
        <f ca="1">IF(AND($B$10&lt;55,B292&lt;59.5),'Retirement Planning'!$J$25,IF(OR(B292&gt;59.5,B292=59.5),MAX(0,MIN(F292,IF(D292&lt;2500,((Y292+AJ292+AA292))-X292,((Y292+AJ292+AA292)*'Retirement Planning'!$J$44)-X292))),0))</f>
        <v>10736.901105876905</v>
      </c>
      <c r="H292" s="255">
        <f ca="1">IF(MONTH(C292)=1,IF(B292&gt;69.5,F292/(INDEX('Retirement Planning'!D$1:D$264,(160+INT(B292))))/12,0),IF(F292=0,0,H291))</f>
        <v>10339.761900679723</v>
      </c>
      <c r="I292" s="262">
        <f t="shared" ca="1" si="112"/>
        <v>0</v>
      </c>
      <c r="J292" s="254">
        <f ca="1">IF(AND(B291&lt;59.5,OR(B292=59.5,B292&gt;59.5)),0,(J291-K291)*(1+'Retirement Planning'!$J$23/12))</f>
        <v>0</v>
      </c>
      <c r="K292" s="58">
        <f t="shared" ca="1" si="113"/>
        <v>0</v>
      </c>
      <c r="L292" s="57">
        <f>IF(AND(OR(B292&gt;59.5,B292=59.5),B291&lt;59.5),0,(L291-M291)*(1+'Retirement Planning'!$J$23/12))</f>
        <v>0</v>
      </c>
      <c r="M292" s="59">
        <f>IF(AND($B$10&lt;55,B292&lt;59.5),0,IF(B292&lt;59.5,MAX(0,MIN((($Y292+$AJ292+AA292)*'Retirement Planning'!$J$44)-$G292-$X292,L292)),0))</f>
        <v>0</v>
      </c>
      <c r="N292" s="57">
        <f ca="1">(N291-O291)*(1+'Retirement Planning'!$J$23/12)</f>
        <v>0</v>
      </c>
      <c r="O292" s="59">
        <f ca="1">IF(B292&gt;59.5,MAX(0,MIN((AA292+$Y292+$AJ292)*(IF(D292&lt;(MIN(E280:E291)+1),1,'Retirement Planning'!$J$44))-M292-$G292-$X292-(IF(D292&lt;(MIN(E280:E291)+1),D292,0)),N292)),0)</f>
        <v>0</v>
      </c>
      <c r="P292" s="57">
        <f t="shared" si="125"/>
        <v>0</v>
      </c>
      <c r="Q292" s="58">
        <f t="shared" si="126"/>
        <v>0</v>
      </c>
      <c r="R292" s="57">
        <f ca="1">(R291-S291-T291)*(1+'Retirement Planning'!$J$23/12)</f>
        <v>759397.22051644069</v>
      </c>
      <c r="S292" s="58">
        <f t="shared" ca="1" si="127"/>
        <v>808.33333333333337</v>
      </c>
      <c r="T292" s="273">
        <f t="shared" ca="1" si="114"/>
        <v>0</v>
      </c>
      <c r="U292" s="57">
        <f ca="1">(U291-V291)*(1+'Retirement Planning'!$J$23/12)</f>
        <v>510174.19694965414</v>
      </c>
      <c r="V292" s="24">
        <f ca="1">IF(AND($B$10&lt;55,B292&lt;59.5),MIN(U292,MAX(0,(Y292+AA292+AJ292-G292)*'Retirement Planning'!$J$45)),IF(B292&lt;59.5,(MIN(U292,MAX(0,((Y292+AA292+AJ292)-G292-M292)*'Retirement Planning'!$J$45))),MIN(U292,MAX(0,(Y292+AA292+AJ292-G292-M292-K292-X292)*'Retirement Planning'!$J$45))))</f>
        <v>1289.4738230291866</v>
      </c>
      <c r="W292" s="7">
        <f t="shared" ca="1" si="115"/>
        <v>3298639.6765951058</v>
      </c>
      <c r="X292" s="7">
        <f>(IF(B292&gt;'Retirement Planning'!$J$34,IF('Retirement Planning'!$J$34=70,'Retirement Planning'!$J$37/12,IF('Retirement Planning'!$J$34=67,'Retirement Planning'!$J$36/12,'Retirement Planning'!$J$35/12)),0))*'Retirement Planning'!$J$38</f>
        <v>1213.6000000000001</v>
      </c>
      <c r="Y292" s="7">
        <f ca="1">'Retirement Planning'!$F$35*((1+'Retirement Planning'!$J$24)^(YEAR('Projected Retirement Drawdown'!C292)-YEAR(TODAY())))</f>
        <v>11453.105575129326</v>
      </c>
      <c r="Z292" s="7">
        <f ca="1">G292+M292+O292+0.85*X292+V292*'Retirement Planning'!$J$46+T292</f>
        <v>12477.671708542957</v>
      </c>
      <c r="AA292" s="7">
        <f ca="1">IF(MONTH(C292)=1,(((MIN(MAX(0,((SUM(Z280:Z291)-'Retirement Planning'!$I$53-'Retirement Planning'!$I$54)-'Retirement Planning'!$J$51)*'Retirement Planning'!$I$52))))+(MIN(MAX(0,((SUM(Z280:Z291)-'Retirement Planning'!$I$53-'Retirement Planning'!$I$54)-'Retirement Planning'!$J$50)*'Retirement Planning'!$I$51),('Retirement Planning'!$J$51-'Retirement Planning'!$J$50)*'Retirement Planning'!$I$51))+(MIN(MAX(0,((SUM(Z280:Z291)-'Retirement Planning'!$I$53-'Retirement Planning'!$I$54)-'Retirement Planning'!$J$49)*'Retirement Planning'!$I$50),('Retirement Planning'!$J$50-'Retirement Planning'!$J$49)*'Retirement Planning'!$I$50)+MIN(MAX(0,((SUM(Z280:Z291)-'Retirement Planning'!$I$53-'Retirement Planning'!$I$54)-'Retirement Planning'!$J$48)*'Retirement Planning'!$I$49),('Retirement Planning'!$J$49-'Retirement Planning'!$J$48)*'Retirement Planning'!$I$49)+MIN(((SUM(Z280:Z291)-'Retirement Planning'!$I$53-'Retirement Planning'!$I$54))*'Retirement Planning'!$I$48,('Retirement Planning'!$J$48)*'Retirement Planning'!$I$48))+(IF((SUM(Z280:Z291)-'Retirement Planning'!$I$54-'Retirement Planning'!$I$61)&gt;'Retirement Planning'!$J$59,(SUM(Z280:Z291)-'Retirement Planning'!$I$54-'Retirement Planning'!$I$61-'Retirement Planning'!$J$59)*'Retirement Planning'!$I$60+'Retirement Planning'!$K$59,IF((SUM(Z280:Z291)-'Retirement Planning'!$I$54-'Retirement Planning'!$I$61)&gt;'Retirement Planning'!$J$58,(SUM(Z280:Z291)-'Retirement Planning'!$I$54-'Retirement Planning'!$I$61-'Retirement Planning'!$J$58)*'Retirement Planning'!$I$59+'Retirement Planning'!$K$58,IF((SUM(Z280:Z291)-'Retirement Planning'!$I$54-'Retirement Planning'!$I$61)&gt;'Retirement Planning'!$J$57,(SUM(Z280:Z291)-'Retirement Planning'!$I$54-'Retirement Planning'!$I$61-'Retirement Planning'!$J$57)*'Retirement Planning'!$I$58+'Retirement Planning'!$K$57,IF((SUM(Z280:Z291)-'Retirement Planning'!$I$54-'Retirement Planning'!$I$61)&gt;'Retirement Planning'!$J$56,(SUM(Z280:Z291)-'Retirement Planning'!$I$54-'Retirement Planning'!$I$61-'Retirement Planning'!$J$56)*'Retirement Planning'!$I$57+'Retirement Planning'!$K$56,(SUM(Z280:Z291)-'Retirement Planning'!$I$54-'Retirement Planning'!$I$61)*'Retirement Planning'!$I$56))))))/12,AA291)</f>
        <v>2983.9328271878408</v>
      </c>
      <c r="AB292" s="104">
        <f t="shared" ca="1" si="106"/>
        <v>0.248162537677732</v>
      </c>
      <c r="AC292" s="7">
        <f>IF(B292&lt;65,'Retirement Planning'!$J$28,0)</f>
        <v>0</v>
      </c>
      <c r="AD292" s="7">
        <f>IF(B292&lt;65,'Retirement Planning'!$J$29/12,0)</f>
        <v>0</v>
      </c>
      <c r="AE292" s="22">
        <f>'Retirement Planning'!$J$31/12</f>
        <v>58.333333333333336</v>
      </c>
      <c r="AF292" s="22">
        <f>'Retirement Planning'!$J$32/12</f>
        <v>66.666666666666671</v>
      </c>
      <c r="AG292" s="7">
        <f>IF($B292&gt;64.9,'Retirement Planning'!$J$39/12,0)</f>
        <v>183.33333333333334</v>
      </c>
      <c r="AH292" s="7">
        <f>IF($B292&gt;64.9,'Retirement Planning'!$J$40/12,0)</f>
        <v>258.33333333333331</v>
      </c>
      <c r="AI292" s="7">
        <f>IF($B292&gt;64.9,'Retirement Planning'!$J$41/12,0)</f>
        <v>558.33333333333337</v>
      </c>
      <c r="AJ292" s="7">
        <f t="shared" ca="1" si="116"/>
        <v>316.66666666666663</v>
      </c>
      <c r="AK292" s="3" t="str">
        <f t="shared" ca="1" si="117"/>
        <v>N/A</v>
      </c>
      <c r="AL292" s="6" t="str">
        <f t="shared" ca="1" si="118"/>
        <v>N/A</v>
      </c>
      <c r="AM292" s="7">
        <f t="shared" ca="1" si="119"/>
        <v>1.1368683772161603E-12</v>
      </c>
      <c r="AN292" s="7">
        <f t="shared" ca="1" si="120"/>
        <v>15562.038402317166</v>
      </c>
      <c r="AO292" s="7">
        <f t="shared" si="121"/>
        <v>1125</v>
      </c>
    </row>
    <row r="293" spans="1:41" x14ac:dyDescent="0.2">
      <c r="A293">
        <f t="shared" si="122"/>
        <v>50</v>
      </c>
      <c r="B293" s="5">
        <f t="shared" si="123"/>
        <v>79.900000000000006</v>
      </c>
      <c r="C293" s="56">
        <f t="shared" si="124"/>
        <v>55032</v>
      </c>
      <c r="D293" s="57">
        <f ca="1">IF(AND(B292&lt;59.5,OR(B293&gt;59.5,B293=59.5)),(D292-E292+J292-K292)*(1+'Retirement Planning'!$J$23/12),(D292-E292)*(1+'Retirement Planning'!$J$23/12))</f>
        <v>623133.46249458392</v>
      </c>
      <c r="E293" s="58">
        <f t="shared" ca="1" si="111"/>
        <v>1513.7301400777415</v>
      </c>
      <c r="F293" s="57">
        <f ca="1">IF(AND(OR(B293&gt;59.5,B293=59.5),B292&lt;59.5),(F292-G292+L292-M292+N292-O292)*(1+'Retirement Planning'!$J$23/12),(F292-G292)*(1+'Retirement Planning'!$J$23/12))</f>
        <v>1407969.9569193101</v>
      </c>
      <c r="G293" s="58">
        <f ca="1">IF(AND($B$10&lt;55,B293&lt;59.5),'Retirement Planning'!$J$25,IF(OR(B293&gt;59.5,B293=59.5),MAX(0,MIN(F293,IF(D293&lt;2500,((Y293+AJ293+AA293))-X293,((Y293+AJ293+AA293)*'Retirement Planning'!$J$44)-X293))),0))</f>
        <v>10736.901105876905</v>
      </c>
      <c r="H293" s="255">
        <f ca="1">IF(MONTH(C293)=1,IF(B293&gt;69.5,F293/(INDEX('Retirement Planning'!D$1:D$264,(160+INT(B293))))/12,0),IF(F293=0,0,H292))</f>
        <v>10339.761900679723</v>
      </c>
      <c r="I293" s="262">
        <f t="shared" ca="1" si="112"/>
        <v>0</v>
      </c>
      <c r="J293" s="254">
        <f ca="1">IF(AND(B292&lt;59.5,OR(B293=59.5,B293&gt;59.5)),0,(J292-K292)*(1+'Retirement Planning'!$J$23/12))</f>
        <v>0</v>
      </c>
      <c r="K293" s="58">
        <f t="shared" ca="1" si="113"/>
        <v>0</v>
      </c>
      <c r="L293" s="57">
        <f>IF(AND(OR(B293&gt;59.5,B293=59.5),B292&lt;59.5),0,(L292-M292)*(1+'Retirement Planning'!$J$23/12))</f>
        <v>0</v>
      </c>
      <c r="M293" s="59">
        <f>IF(AND($B$10&lt;55,B293&lt;59.5),0,IF(B293&lt;59.5,MAX(0,MIN((($Y293+$AJ293+AA293)*'Retirement Planning'!$J$44)-$G293-$X293,L293)),0))</f>
        <v>0</v>
      </c>
      <c r="N293" s="57">
        <f ca="1">(N292-O292)*(1+'Retirement Planning'!$J$23/12)</f>
        <v>0</v>
      </c>
      <c r="O293" s="59">
        <f ca="1">IF(B293&gt;59.5,MAX(0,MIN((AA293+$Y293+$AJ293)*(IF(D293&lt;(MIN(E281:E292)+1),1,'Retirement Planning'!$J$44))-M293-$G293-$X293-(IF(D293&lt;(MIN(E281:E292)+1),D293,0)),N293)),0)</f>
        <v>0</v>
      </c>
      <c r="P293" s="57">
        <f t="shared" si="125"/>
        <v>0</v>
      </c>
      <c r="Q293" s="58">
        <f t="shared" si="126"/>
        <v>0</v>
      </c>
      <c r="R293" s="57">
        <f ca="1">(R292-S292-T292)*(1+'Retirement Planning'!$J$23/12)</f>
        <v>763962.22513398761</v>
      </c>
      <c r="S293" s="58">
        <f t="shared" ca="1" si="127"/>
        <v>808.33333333333337</v>
      </c>
      <c r="T293" s="273">
        <f t="shared" ca="1" si="114"/>
        <v>0</v>
      </c>
      <c r="U293" s="57">
        <f ca="1">(U292-V292)*(1+'Retirement Planning'!$J$23/12)</f>
        <v>512489.32324877189</v>
      </c>
      <c r="V293" s="24">
        <f ca="1">IF(AND($B$10&lt;55,B293&lt;59.5),MIN(U293,MAX(0,(Y293+AA293+AJ293-G293)*'Retirement Planning'!$J$45)),IF(B293&lt;59.5,(MIN(U293,MAX(0,((Y293+AA293+AJ293)-G293-M293)*'Retirement Planning'!$J$45))),MIN(U293,MAX(0,(Y293+AA293+AJ293-G293-M293-K293-X293)*'Retirement Planning'!$J$45))))</f>
        <v>1289.4738230291866</v>
      </c>
      <c r="W293" s="7">
        <f t="shared" ca="1" si="115"/>
        <v>3307554.9677966535</v>
      </c>
      <c r="X293" s="7">
        <f>(IF(B293&gt;'Retirement Planning'!$J$34,IF('Retirement Planning'!$J$34=70,'Retirement Planning'!$J$37/12,IF('Retirement Planning'!$J$34=67,'Retirement Planning'!$J$36/12,'Retirement Planning'!$J$35/12)),0))*'Retirement Planning'!$J$38</f>
        <v>1213.6000000000001</v>
      </c>
      <c r="Y293" s="7">
        <f ca="1">'Retirement Planning'!$F$35*((1+'Retirement Planning'!$J$24)^(YEAR('Projected Retirement Drawdown'!C293)-YEAR(TODAY())))</f>
        <v>11453.105575129326</v>
      </c>
      <c r="Z293" s="7">
        <f ca="1">G293+M293+O293+0.85*X293+V293*'Retirement Planning'!$J$46+T293</f>
        <v>12477.671708542957</v>
      </c>
      <c r="AA293" s="7">
        <f ca="1">IF(MONTH(C293)=1,(((MIN(MAX(0,((SUM(Z281:Z292)-'Retirement Planning'!$I$53-'Retirement Planning'!$I$54)-'Retirement Planning'!$J$51)*'Retirement Planning'!$I$52))))+(MIN(MAX(0,((SUM(Z281:Z292)-'Retirement Planning'!$I$53-'Retirement Planning'!$I$54)-'Retirement Planning'!$J$50)*'Retirement Planning'!$I$51),('Retirement Planning'!$J$51-'Retirement Planning'!$J$50)*'Retirement Planning'!$I$51))+(MIN(MAX(0,((SUM(Z281:Z292)-'Retirement Planning'!$I$53-'Retirement Planning'!$I$54)-'Retirement Planning'!$J$49)*'Retirement Planning'!$I$50),('Retirement Planning'!$J$50-'Retirement Planning'!$J$49)*'Retirement Planning'!$I$50)+MIN(MAX(0,((SUM(Z281:Z292)-'Retirement Planning'!$I$53-'Retirement Planning'!$I$54)-'Retirement Planning'!$J$48)*'Retirement Planning'!$I$49),('Retirement Planning'!$J$49-'Retirement Planning'!$J$48)*'Retirement Planning'!$I$49)+MIN(((SUM(Z281:Z292)-'Retirement Planning'!$I$53-'Retirement Planning'!$I$54))*'Retirement Planning'!$I$48,('Retirement Planning'!$J$48)*'Retirement Planning'!$I$48))+(IF((SUM(Z281:Z292)-'Retirement Planning'!$I$54-'Retirement Planning'!$I$61)&gt;'Retirement Planning'!$J$59,(SUM(Z281:Z292)-'Retirement Planning'!$I$54-'Retirement Planning'!$I$61-'Retirement Planning'!$J$59)*'Retirement Planning'!$I$60+'Retirement Planning'!$K$59,IF((SUM(Z281:Z292)-'Retirement Planning'!$I$54-'Retirement Planning'!$I$61)&gt;'Retirement Planning'!$J$58,(SUM(Z281:Z292)-'Retirement Planning'!$I$54-'Retirement Planning'!$I$61-'Retirement Planning'!$J$58)*'Retirement Planning'!$I$59+'Retirement Planning'!$K$58,IF((SUM(Z281:Z292)-'Retirement Planning'!$I$54-'Retirement Planning'!$I$61)&gt;'Retirement Planning'!$J$57,(SUM(Z281:Z292)-'Retirement Planning'!$I$54-'Retirement Planning'!$I$61-'Retirement Planning'!$J$57)*'Retirement Planning'!$I$58+'Retirement Planning'!$K$57,IF((SUM(Z281:Z292)-'Retirement Planning'!$I$54-'Retirement Planning'!$I$61)&gt;'Retirement Planning'!$J$56,(SUM(Z281:Z292)-'Retirement Planning'!$I$54-'Retirement Planning'!$I$61-'Retirement Planning'!$J$56)*'Retirement Planning'!$I$57+'Retirement Planning'!$K$56,(SUM(Z281:Z292)-'Retirement Planning'!$I$54-'Retirement Planning'!$I$61)*'Retirement Planning'!$I$56))))))/12,AA292)</f>
        <v>2983.9328271878408</v>
      </c>
      <c r="AB293" s="104">
        <f t="shared" ca="1" si="106"/>
        <v>0.248162537677732</v>
      </c>
      <c r="AC293" s="7">
        <f>IF(B293&lt;65,'Retirement Planning'!$J$28,0)</f>
        <v>0</v>
      </c>
      <c r="AD293" s="7">
        <f>IF(B293&lt;65,'Retirement Planning'!$J$29/12,0)</f>
        <v>0</v>
      </c>
      <c r="AE293" s="22">
        <f>'Retirement Planning'!$J$31/12</f>
        <v>58.333333333333336</v>
      </c>
      <c r="AF293" s="22">
        <f>'Retirement Planning'!$J$32/12</f>
        <v>66.666666666666671</v>
      </c>
      <c r="AG293" s="7">
        <f>IF($B293&gt;64.9,'Retirement Planning'!$J$39/12,0)</f>
        <v>183.33333333333334</v>
      </c>
      <c r="AH293" s="7">
        <f>IF($B293&gt;64.9,'Retirement Planning'!$J$40/12,0)</f>
        <v>258.33333333333331</v>
      </c>
      <c r="AI293" s="7">
        <f>IF($B293&gt;64.9,'Retirement Planning'!$J$41/12,0)</f>
        <v>558.33333333333337</v>
      </c>
      <c r="AJ293" s="7">
        <f t="shared" ca="1" si="116"/>
        <v>316.66666666666663</v>
      </c>
      <c r="AK293" s="3" t="str">
        <f t="shared" ca="1" si="117"/>
        <v>N/A</v>
      </c>
      <c r="AL293" s="6" t="str">
        <f t="shared" ca="1" si="118"/>
        <v>N/A</v>
      </c>
      <c r="AM293" s="7">
        <f t="shared" ca="1" si="119"/>
        <v>1.1368683772161603E-12</v>
      </c>
      <c r="AN293" s="7">
        <f t="shared" ca="1" si="120"/>
        <v>15562.038402317166</v>
      </c>
      <c r="AO293" s="7">
        <f t="shared" si="121"/>
        <v>1125</v>
      </c>
    </row>
    <row r="294" spans="1:41" x14ac:dyDescent="0.2">
      <c r="A294">
        <f t="shared" si="122"/>
        <v>50</v>
      </c>
      <c r="B294" s="5">
        <f t="shared" si="123"/>
        <v>80</v>
      </c>
      <c r="C294" s="56">
        <f t="shared" si="124"/>
        <v>55062</v>
      </c>
      <c r="D294" s="57">
        <f ca="1">IF(AND(B293&lt;59.5,OR(B294&gt;59.5,B294=59.5)),(D293-E293+J293-K293)*(1+'Retirement Planning'!$J$23/12),(D293-E293)*(1+'Retirement Planning'!$J$23/12))</f>
        <v>626022.87212535052</v>
      </c>
      <c r="E294" s="58">
        <f t="shared" ca="1" si="111"/>
        <v>1513.7301400777415</v>
      </c>
      <c r="F294" s="57">
        <f ca="1">IF(AND(OR(B294&gt;59.5,B294=59.5),B293&lt;59.5),(F293-G293+L293-M293+N293-O293)*(1+'Retirement Planning'!$J$23/12),(F293-G293)*(1+'Retirement Planning'!$J$23/12))</f>
        <v>1407130.1232921116</v>
      </c>
      <c r="G294" s="58">
        <f ca="1">IF(AND($B$10&lt;55,B294&lt;59.5),'Retirement Planning'!$J$25,IF(OR(B294&gt;59.5,B294=59.5),MAX(0,MIN(F294,IF(D294&lt;2500,((Y294+AJ294+AA294))-X294,((Y294+AJ294+AA294)*'Retirement Planning'!$J$44)-X294))),0))</f>
        <v>10736.901105876905</v>
      </c>
      <c r="H294" s="255">
        <f ca="1">IF(MONTH(C294)=1,IF(B294&gt;69.5,F294/(INDEX('Retirement Planning'!D$1:D$264,(160+INT(B294))))/12,0),IF(F294=0,0,H293))</f>
        <v>10339.761900679723</v>
      </c>
      <c r="I294" s="262">
        <f t="shared" ca="1" si="112"/>
        <v>0</v>
      </c>
      <c r="J294" s="254">
        <f ca="1">IF(AND(B293&lt;59.5,OR(B294=59.5,B294&gt;59.5)),0,(J293-K293)*(1+'Retirement Planning'!$J$23/12))</f>
        <v>0</v>
      </c>
      <c r="K294" s="58">
        <f t="shared" ca="1" si="113"/>
        <v>0</v>
      </c>
      <c r="L294" s="57">
        <f>IF(AND(OR(B294&gt;59.5,B294=59.5),B293&lt;59.5),0,(L293-M293)*(1+'Retirement Planning'!$J$23/12))</f>
        <v>0</v>
      </c>
      <c r="M294" s="59">
        <f>IF(AND($B$10&lt;55,B294&lt;59.5),0,IF(B294&lt;59.5,MAX(0,MIN((($Y294+$AJ294+AA294)*'Retirement Planning'!$J$44)-$G294-$X294,L294)),0))</f>
        <v>0</v>
      </c>
      <c r="N294" s="57">
        <f ca="1">(N293-O293)*(1+'Retirement Planning'!$J$23/12)</f>
        <v>0</v>
      </c>
      <c r="O294" s="59">
        <f ca="1">IF(B294&gt;59.5,MAX(0,MIN((AA294+$Y294+$AJ294)*(IF(D294&lt;(MIN(E282:E293)+1),1,'Retirement Planning'!$J$44))-M294-$G294-$X294-(IF(D294&lt;(MIN(E282:E293)+1),D294,0)),N294)),0)</f>
        <v>0</v>
      </c>
      <c r="P294" s="57">
        <f t="shared" si="125"/>
        <v>0</v>
      </c>
      <c r="Q294" s="58">
        <f t="shared" si="126"/>
        <v>0</v>
      </c>
      <c r="R294" s="57">
        <f ca="1">(R293-S293-T293)*(1+'Retirement Planning'!$J$23/12)</f>
        <v>768559.56520090892</v>
      </c>
      <c r="S294" s="58">
        <f t="shared" ca="1" si="127"/>
        <v>808.33333333333337</v>
      </c>
      <c r="T294" s="273">
        <f t="shared" ca="1" si="114"/>
        <v>0</v>
      </c>
      <c r="U294" s="57">
        <f ca="1">(U293-V293)*(1+'Retirement Planning'!$J$23/12)</f>
        <v>514820.84835917503</v>
      </c>
      <c r="V294" s="24">
        <f ca="1">IF(AND($B$10&lt;55,B294&lt;59.5),MIN(U294,MAX(0,(Y294+AA294+AJ294-G294)*'Retirement Planning'!$J$45)),IF(B294&lt;59.5,(MIN(U294,MAX(0,((Y294+AA294+AJ294)-G294-M294)*'Retirement Planning'!$J$45))),MIN(U294,MAX(0,(Y294+AA294+AJ294-G294-M294-K294-X294)*'Retirement Planning'!$J$45))))</f>
        <v>1289.4738230291866</v>
      </c>
      <c r="W294" s="7">
        <f t="shared" ca="1" si="115"/>
        <v>3316533.4089775463</v>
      </c>
      <c r="X294" s="7">
        <f>(IF(B294&gt;'Retirement Planning'!$J$34,IF('Retirement Planning'!$J$34=70,'Retirement Planning'!$J$37/12,IF('Retirement Planning'!$J$34=67,'Retirement Planning'!$J$36/12,'Retirement Planning'!$J$35/12)),0))*'Retirement Planning'!$J$38</f>
        <v>1213.6000000000001</v>
      </c>
      <c r="Y294" s="7">
        <f ca="1">'Retirement Planning'!$F$35*((1+'Retirement Planning'!$J$24)^(YEAR('Projected Retirement Drawdown'!C294)-YEAR(TODAY())))</f>
        <v>11453.105575129326</v>
      </c>
      <c r="Z294" s="7">
        <f ca="1">G294+M294+O294+0.85*X294+V294*'Retirement Planning'!$J$46+T294</f>
        <v>12477.671708542957</v>
      </c>
      <c r="AA294" s="7">
        <f ca="1">IF(MONTH(C294)=1,(((MIN(MAX(0,((SUM(Z282:Z293)-'Retirement Planning'!$I$53-'Retirement Planning'!$I$54)-'Retirement Planning'!$J$51)*'Retirement Planning'!$I$52))))+(MIN(MAX(0,((SUM(Z282:Z293)-'Retirement Planning'!$I$53-'Retirement Planning'!$I$54)-'Retirement Planning'!$J$50)*'Retirement Planning'!$I$51),('Retirement Planning'!$J$51-'Retirement Planning'!$J$50)*'Retirement Planning'!$I$51))+(MIN(MAX(0,((SUM(Z282:Z293)-'Retirement Planning'!$I$53-'Retirement Planning'!$I$54)-'Retirement Planning'!$J$49)*'Retirement Planning'!$I$50),('Retirement Planning'!$J$50-'Retirement Planning'!$J$49)*'Retirement Planning'!$I$50)+MIN(MAX(0,((SUM(Z282:Z293)-'Retirement Planning'!$I$53-'Retirement Planning'!$I$54)-'Retirement Planning'!$J$48)*'Retirement Planning'!$I$49),('Retirement Planning'!$J$49-'Retirement Planning'!$J$48)*'Retirement Planning'!$I$49)+MIN(((SUM(Z282:Z293)-'Retirement Planning'!$I$53-'Retirement Planning'!$I$54))*'Retirement Planning'!$I$48,('Retirement Planning'!$J$48)*'Retirement Planning'!$I$48))+(IF((SUM(Z282:Z293)-'Retirement Planning'!$I$54-'Retirement Planning'!$I$61)&gt;'Retirement Planning'!$J$59,(SUM(Z282:Z293)-'Retirement Planning'!$I$54-'Retirement Planning'!$I$61-'Retirement Planning'!$J$59)*'Retirement Planning'!$I$60+'Retirement Planning'!$K$59,IF((SUM(Z282:Z293)-'Retirement Planning'!$I$54-'Retirement Planning'!$I$61)&gt;'Retirement Planning'!$J$58,(SUM(Z282:Z293)-'Retirement Planning'!$I$54-'Retirement Planning'!$I$61-'Retirement Planning'!$J$58)*'Retirement Planning'!$I$59+'Retirement Planning'!$K$58,IF((SUM(Z282:Z293)-'Retirement Planning'!$I$54-'Retirement Planning'!$I$61)&gt;'Retirement Planning'!$J$57,(SUM(Z282:Z293)-'Retirement Planning'!$I$54-'Retirement Planning'!$I$61-'Retirement Planning'!$J$57)*'Retirement Planning'!$I$58+'Retirement Planning'!$K$57,IF((SUM(Z282:Z293)-'Retirement Planning'!$I$54-'Retirement Planning'!$I$61)&gt;'Retirement Planning'!$J$56,(SUM(Z282:Z293)-'Retirement Planning'!$I$54-'Retirement Planning'!$I$61-'Retirement Planning'!$J$56)*'Retirement Planning'!$I$57+'Retirement Planning'!$K$56,(SUM(Z282:Z293)-'Retirement Planning'!$I$54-'Retirement Planning'!$I$61)*'Retirement Planning'!$I$56))))))/12,AA293)</f>
        <v>2983.9328271878408</v>
      </c>
      <c r="AB294" s="104">
        <f t="shared" ca="1" si="106"/>
        <v>0.248162537677732</v>
      </c>
      <c r="AC294" s="7">
        <f>IF(B294&lt;65,'Retirement Planning'!$J$28,0)</f>
        <v>0</v>
      </c>
      <c r="AD294" s="7">
        <f>IF(B294&lt;65,'Retirement Planning'!$J$29/12,0)</f>
        <v>0</v>
      </c>
      <c r="AE294" s="22">
        <f>'Retirement Planning'!$J$31/12</f>
        <v>58.333333333333336</v>
      </c>
      <c r="AF294" s="22">
        <f>'Retirement Planning'!$J$32/12</f>
        <v>66.666666666666671</v>
      </c>
      <c r="AG294" s="7">
        <f>IF($B294&gt;64.9,'Retirement Planning'!$J$39/12,0)</f>
        <v>183.33333333333334</v>
      </c>
      <c r="AH294" s="7">
        <f>IF($B294&gt;64.9,'Retirement Planning'!$J$40/12,0)</f>
        <v>258.33333333333331</v>
      </c>
      <c r="AI294" s="7">
        <f>IF($B294&gt;64.9,'Retirement Planning'!$J$41/12,0)</f>
        <v>558.33333333333337</v>
      </c>
      <c r="AJ294" s="7">
        <f t="shared" ca="1" si="116"/>
        <v>316.66666666666663</v>
      </c>
      <c r="AK294" s="3" t="str">
        <f t="shared" ca="1" si="117"/>
        <v>N/A</v>
      </c>
      <c r="AL294" s="6" t="str">
        <f t="shared" ca="1" si="118"/>
        <v>N/A</v>
      </c>
      <c r="AM294" s="7">
        <f t="shared" ca="1" si="119"/>
        <v>1.1368683772161603E-12</v>
      </c>
      <c r="AN294" s="7">
        <f t="shared" ca="1" si="120"/>
        <v>15562.038402317166</v>
      </c>
      <c r="AO294" s="7">
        <f t="shared" si="121"/>
        <v>1125</v>
      </c>
    </row>
    <row r="295" spans="1:41" x14ac:dyDescent="0.2">
      <c r="A295">
        <f t="shared" si="122"/>
        <v>50</v>
      </c>
      <c r="B295" s="5">
        <f t="shared" si="123"/>
        <v>80</v>
      </c>
      <c r="C295" s="56">
        <f t="shared" si="124"/>
        <v>55093</v>
      </c>
      <c r="D295" s="57">
        <f ca="1">IF(AND(B294&lt;59.5,OR(B295&gt;59.5,B295=59.5)),(D294-E294+J294-K294)*(1+'Retirement Planning'!$J$23/12),(D294-E294)*(1+'Retirement Planning'!$J$23/12))</f>
        <v>628932.74840766843</v>
      </c>
      <c r="E295" s="58">
        <f t="shared" ca="1" si="111"/>
        <v>1513.7301400777415</v>
      </c>
      <c r="F295" s="57">
        <f ca="1">IF(AND(OR(B295&gt;59.5,B295=59.5),B294&lt;59.5),(F294-G294+L294-M294+N294-O294)*(1+'Retirement Planning'!$J$23/12),(F294-G294)*(1+'Retirement Planning'!$J$23/12))</f>
        <v>1406284.3408433869</v>
      </c>
      <c r="G295" s="58">
        <f ca="1">IF(AND($B$10&lt;55,B295&lt;59.5),'Retirement Planning'!$J$25,IF(OR(B295&gt;59.5,B295=59.5),MAX(0,MIN(F295,IF(D295&lt;2500,((Y295+AJ295+AA295))-X295,((Y295+AJ295+AA295)*'Retirement Planning'!$J$44)-X295))),0))</f>
        <v>10736.901105876905</v>
      </c>
      <c r="H295" s="255">
        <f ca="1">IF(MONTH(C295)=1,IF(B295&gt;69.5,F295/(INDEX('Retirement Planning'!D$1:D$264,(160+INT(B295))))/12,0),IF(F295=0,0,H294))</f>
        <v>10339.761900679723</v>
      </c>
      <c r="I295" s="262">
        <f t="shared" ca="1" si="112"/>
        <v>0</v>
      </c>
      <c r="J295" s="254">
        <f ca="1">IF(AND(B294&lt;59.5,OR(B295=59.5,B295&gt;59.5)),0,(J294-K294)*(1+'Retirement Planning'!$J$23/12))</f>
        <v>0</v>
      </c>
      <c r="K295" s="58">
        <f t="shared" ca="1" si="113"/>
        <v>0</v>
      </c>
      <c r="L295" s="57">
        <f>IF(AND(OR(B295&gt;59.5,B295=59.5),B294&lt;59.5),0,(L294-M294)*(1+'Retirement Planning'!$J$23/12))</f>
        <v>0</v>
      </c>
      <c r="M295" s="59">
        <f>IF(AND($B$10&lt;55,B295&lt;59.5),0,IF(B295&lt;59.5,MAX(0,MIN((($Y295+$AJ295+AA295)*'Retirement Planning'!$J$44)-$G295-$X295,L295)),0))</f>
        <v>0</v>
      </c>
      <c r="N295" s="57">
        <f ca="1">(N294-O294)*(1+'Retirement Planning'!$J$23/12)</f>
        <v>0</v>
      </c>
      <c r="O295" s="59">
        <f ca="1">IF(B295&gt;59.5,MAX(0,MIN((AA295+$Y295+$AJ295)*(IF(D295&lt;(MIN(E283:E294)+1),1,'Retirement Planning'!$J$44))-M295-$G295-$X295-(IF(D295&lt;(MIN(E283:E294)+1),D295,0)),N295)),0)</f>
        <v>0</v>
      </c>
      <c r="P295" s="57">
        <f t="shared" si="125"/>
        <v>0</v>
      </c>
      <c r="Q295" s="58">
        <f t="shared" si="126"/>
        <v>0</v>
      </c>
      <c r="R295" s="57">
        <f ca="1">(R294-S294-T294)*(1+'Retirement Planning'!$J$23/12)</f>
        <v>773189.4697599709</v>
      </c>
      <c r="S295" s="58">
        <f t="shared" ca="1" si="127"/>
        <v>808.33333333333337</v>
      </c>
      <c r="T295" s="273">
        <f t="shared" ca="1" si="114"/>
        <v>0</v>
      </c>
      <c r="U295" s="57">
        <f ca="1">(U294-V294)*(1+'Retirement Planning'!$J$23/12)</f>
        <v>517168.88843911019</v>
      </c>
      <c r="V295" s="24">
        <f ca="1">IF(AND($B$10&lt;55,B295&lt;59.5),MIN(U295,MAX(0,(Y295+AA295+AJ295-G295)*'Retirement Planning'!$J$45)),IF(B295&lt;59.5,(MIN(U295,MAX(0,((Y295+AA295+AJ295)-G295-M295)*'Retirement Planning'!$J$45))),MIN(U295,MAX(0,(Y295+AA295+AJ295-G295-M295-K295-X295)*'Retirement Planning'!$J$45))))</f>
        <v>1289.4738230291866</v>
      </c>
      <c r="W295" s="7">
        <f t="shared" ca="1" si="115"/>
        <v>3325575.4474501363</v>
      </c>
      <c r="X295" s="7">
        <f>(IF(B295&gt;'Retirement Planning'!$J$34,IF('Retirement Planning'!$J$34=70,'Retirement Planning'!$J$37/12,IF('Retirement Planning'!$J$34=67,'Retirement Planning'!$J$36/12,'Retirement Planning'!$J$35/12)),0))*'Retirement Planning'!$J$38</f>
        <v>1213.6000000000001</v>
      </c>
      <c r="Y295" s="7">
        <f ca="1">'Retirement Planning'!$F$35*((1+'Retirement Planning'!$J$24)^(YEAR('Projected Retirement Drawdown'!C295)-YEAR(TODAY())))</f>
        <v>11453.105575129326</v>
      </c>
      <c r="Z295" s="7">
        <f ca="1">G295+M295+O295+0.85*X295+V295*'Retirement Planning'!$J$46+T295</f>
        <v>12477.671708542957</v>
      </c>
      <c r="AA295" s="7">
        <f ca="1">IF(MONTH(C295)=1,(((MIN(MAX(0,((SUM(Z283:Z294)-'Retirement Planning'!$I$53-'Retirement Planning'!$I$54)-'Retirement Planning'!$J$51)*'Retirement Planning'!$I$52))))+(MIN(MAX(0,((SUM(Z283:Z294)-'Retirement Planning'!$I$53-'Retirement Planning'!$I$54)-'Retirement Planning'!$J$50)*'Retirement Planning'!$I$51),('Retirement Planning'!$J$51-'Retirement Planning'!$J$50)*'Retirement Planning'!$I$51))+(MIN(MAX(0,((SUM(Z283:Z294)-'Retirement Planning'!$I$53-'Retirement Planning'!$I$54)-'Retirement Planning'!$J$49)*'Retirement Planning'!$I$50),('Retirement Planning'!$J$50-'Retirement Planning'!$J$49)*'Retirement Planning'!$I$50)+MIN(MAX(0,((SUM(Z283:Z294)-'Retirement Planning'!$I$53-'Retirement Planning'!$I$54)-'Retirement Planning'!$J$48)*'Retirement Planning'!$I$49),('Retirement Planning'!$J$49-'Retirement Planning'!$J$48)*'Retirement Planning'!$I$49)+MIN(((SUM(Z283:Z294)-'Retirement Planning'!$I$53-'Retirement Planning'!$I$54))*'Retirement Planning'!$I$48,('Retirement Planning'!$J$48)*'Retirement Planning'!$I$48))+(IF((SUM(Z283:Z294)-'Retirement Planning'!$I$54-'Retirement Planning'!$I$61)&gt;'Retirement Planning'!$J$59,(SUM(Z283:Z294)-'Retirement Planning'!$I$54-'Retirement Planning'!$I$61-'Retirement Planning'!$J$59)*'Retirement Planning'!$I$60+'Retirement Planning'!$K$59,IF((SUM(Z283:Z294)-'Retirement Planning'!$I$54-'Retirement Planning'!$I$61)&gt;'Retirement Planning'!$J$58,(SUM(Z283:Z294)-'Retirement Planning'!$I$54-'Retirement Planning'!$I$61-'Retirement Planning'!$J$58)*'Retirement Planning'!$I$59+'Retirement Planning'!$K$58,IF((SUM(Z283:Z294)-'Retirement Planning'!$I$54-'Retirement Planning'!$I$61)&gt;'Retirement Planning'!$J$57,(SUM(Z283:Z294)-'Retirement Planning'!$I$54-'Retirement Planning'!$I$61-'Retirement Planning'!$J$57)*'Retirement Planning'!$I$58+'Retirement Planning'!$K$57,IF((SUM(Z283:Z294)-'Retirement Planning'!$I$54-'Retirement Planning'!$I$61)&gt;'Retirement Planning'!$J$56,(SUM(Z283:Z294)-'Retirement Planning'!$I$54-'Retirement Planning'!$I$61-'Retirement Planning'!$J$56)*'Retirement Planning'!$I$57+'Retirement Planning'!$K$56,(SUM(Z283:Z294)-'Retirement Planning'!$I$54-'Retirement Planning'!$I$61)*'Retirement Planning'!$I$56))))))/12,AA294)</f>
        <v>2983.9328271878408</v>
      </c>
      <c r="AB295" s="104">
        <f t="shared" ca="1" si="106"/>
        <v>0.248162537677732</v>
      </c>
      <c r="AC295" s="7">
        <f>IF(B295&lt;65,'Retirement Planning'!$J$28,0)</f>
        <v>0</v>
      </c>
      <c r="AD295" s="7">
        <f>IF(B295&lt;65,'Retirement Planning'!$J$29/12,0)</f>
        <v>0</v>
      </c>
      <c r="AE295" s="22">
        <f>'Retirement Planning'!$J$31/12</f>
        <v>58.333333333333336</v>
      </c>
      <c r="AF295" s="22">
        <f>'Retirement Planning'!$J$32/12</f>
        <v>66.666666666666671</v>
      </c>
      <c r="AG295" s="7">
        <f>IF($B295&gt;64.9,'Retirement Planning'!$J$39/12,0)</f>
        <v>183.33333333333334</v>
      </c>
      <c r="AH295" s="7">
        <f>IF($B295&gt;64.9,'Retirement Planning'!$J$40/12,0)</f>
        <v>258.33333333333331</v>
      </c>
      <c r="AI295" s="7">
        <f>IF($B295&gt;64.9,'Retirement Planning'!$J$41/12,0)</f>
        <v>558.33333333333337</v>
      </c>
      <c r="AJ295" s="7">
        <f t="shared" ca="1" si="116"/>
        <v>316.66666666666663</v>
      </c>
      <c r="AK295" s="3" t="str">
        <f t="shared" ca="1" si="117"/>
        <v>N/A</v>
      </c>
      <c r="AL295" s="6" t="str">
        <f t="shared" ca="1" si="118"/>
        <v>N/A</v>
      </c>
      <c r="AM295" s="7">
        <f t="shared" ca="1" si="119"/>
        <v>1.1368683772161603E-12</v>
      </c>
      <c r="AN295" s="7">
        <f t="shared" ca="1" si="120"/>
        <v>15562.038402317166</v>
      </c>
      <c r="AO295" s="7">
        <f t="shared" si="121"/>
        <v>1125</v>
      </c>
    </row>
    <row r="296" spans="1:41" x14ac:dyDescent="0.2">
      <c r="A296">
        <f t="shared" si="122"/>
        <v>50</v>
      </c>
      <c r="B296" s="5">
        <f t="shared" si="123"/>
        <v>80.099999999999994</v>
      </c>
      <c r="C296" s="56">
        <f t="shared" si="124"/>
        <v>55123</v>
      </c>
      <c r="D296" s="57">
        <f ca="1">IF(AND(B295&lt;59.5,OR(B296&gt;59.5,B296=59.5)),(D295-E295+J295-K295)*(1+'Retirement Planning'!$J$23/12),(D295-E295)*(1+'Retirement Planning'!$J$23/12))</f>
        <v>631863.23631365271</v>
      </c>
      <c r="E296" s="58">
        <f t="shared" ca="1" si="111"/>
        <v>1513.7301400777415</v>
      </c>
      <c r="F296" s="57">
        <f ca="1">IF(AND(OR(B296&gt;59.5,B296=59.5),B295&lt;59.5),(F295-G295+L295-M295+N295-O295)*(1+'Retirement Planning'!$J$23/12),(F295-G295)*(1+'Retirement Planning'!$J$23/12))</f>
        <v>1405432.5674356506</v>
      </c>
      <c r="G296" s="58">
        <f ca="1">IF(AND($B$10&lt;55,B296&lt;59.5),'Retirement Planning'!$J$25,IF(OR(B296&gt;59.5,B296=59.5),MAX(0,MIN(F296,IF(D296&lt;2500,((Y296+AJ296+AA296))-X296,((Y296+AJ296+AA296)*'Retirement Planning'!$J$44)-X296))),0))</f>
        <v>10736.901105876905</v>
      </c>
      <c r="H296" s="255">
        <f ca="1">IF(MONTH(C296)=1,IF(B296&gt;69.5,F296/(INDEX('Retirement Planning'!D$1:D$264,(160+INT(B296))))/12,0),IF(F296=0,0,H295))</f>
        <v>10339.761900679723</v>
      </c>
      <c r="I296" s="262">
        <f t="shared" ca="1" si="112"/>
        <v>0</v>
      </c>
      <c r="J296" s="254">
        <f ca="1">IF(AND(B295&lt;59.5,OR(B296=59.5,B296&gt;59.5)),0,(J295-K295)*(1+'Retirement Planning'!$J$23/12))</f>
        <v>0</v>
      </c>
      <c r="K296" s="58">
        <f t="shared" ca="1" si="113"/>
        <v>0</v>
      </c>
      <c r="L296" s="57">
        <f>IF(AND(OR(B296&gt;59.5,B296=59.5),B295&lt;59.5),0,(L295-M295)*(1+'Retirement Planning'!$J$23/12))</f>
        <v>0</v>
      </c>
      <c r="M296" s="59">
        <f>IF(AND($B$10&lt;55,B296&lt;59.5),0,IF(B296&lt;59.5,MAX(0,MIN((($Y296+$AJ296+AA296)*'Retirement Planning'!$J$44)-$G296-$X296,L296)),0))</f>
        <v>0</v>
      </c>
      <c r="N296" s="57">
        <f ca="1">(N295-O295)*(1+'Retirement Planning'!$J$23/12)</f>
        <v>0</v>
      </c>
      <c r="O296" s="59">
        <f ca="1">IF(B296&gt;59.5,MAX(0,MIN((AA296+$Y296+$AJ296)*(IF(D296&lt;(MIN(E284:E295)+1),1,'Retirement Planning'!$J$44))-M296-$G296-$X296-(IF(D296&lt;(MIN(E284:E295)+1),D296,0)),N296)),0)</f>
        <v>0</v>
      </c>
      <c r="P296" s="57">
        <f t="shared" si="125"/>
        <v>0</v>
      </c>
      <c r="Q296" s="58">
        <f t="shared" si="126"/>
        <v>0</v>
      </c>
      <c r="R296" s="57">
        <f ca="1">(R295-S295-T295)*(1+'Retirement Planning'!$J$23/12)</f>
        <v>777852.16947632621</v>
      </c>
      <c r="S296" s="58">
        <f t="shared" ca="1" si="127"/>
        <v>808.33333333333337</v>
      </c>
      <c r="T296" s="273">
        <f t="shared" ca="1" si="114"/>
        <v>0</v>
      </c>
      <c r="U296" s="57">
        <f ca="1">(U295-V295)*(1+'Retirement Planning'!$J$23/12)</f>
        <v>519533.56046961155</v>
      </c>
      <c r="V296" s="24">
        <f ca="1">IF(AND($B$10&lt;55,B296&lt;59.5),MIN(U296,MAX(0,(Y296+AA296+AJ296-G296)*'Retirement Planning'!$J$45)),IF(B296&lt;59.5,(MIN(U296,MAX(0,((Y296+AA296+AJ296)-G296-M296)*'Retirement Planning'!$J$45))),MIN(U296,MAX(0,(Y296+AA296+AJ296-G296-M296-K296-X296)*'Retirement Planning'!$J$45))))</f>
        <v>1289.4738230291866</v>
      </c>
      <c r="W296" s="7">
        <f t="shared" ca="1" si="115"/>
        <v>3334681.533695241</v>
      </c>
      <c r="X296" s="7">
        <f>(IF(B296&gt;'Retirement Planning'!$J$34,IF('Retirement Planning'!$J$34=70,'Retirement Planning'!$J$37/12,IF('Retirement Planning'!$J$34=67,'Retirement Planning'!$J$36/12,'Retirement Planning'!$J$35/12)),0))*'Retirement Planning'!$J$38</f>
        <v>1213.6000000000001</v>
      </c>
      <c r="Y296" s="7">
        <f ca="1">'Retirement Planning'!$F$35*((1+'Retirement Planning'!$J$24)^(YEAR('Projected Retirement Drawdown'!C296)-YEAR(TODAY())))</f>
        <v>11453.105575129326</v>
      </c>
      <c r="Z296" s="7">
        <f ca="1">G296+M296+O296+0.85*X296+V296*'Retirement Planning'!$J$46+T296</f>
        <v>12477.671708542957</v>
      </c>
      <c r="AA296" s="7">
        <f ca="1">IF(MONTH(C296)=1,(((MIN(MAX(0,((SUM(Z284:Z295)-'Retirement Planning'!$I$53-'Retirement Planning'!$I$54)-'Retirement Planning'!$J$51)*'Retirement Planning'!$I$52))))+(MIN(MAX(0,((SUM(Z284:Z295)-'Retirement Planning'!$I$53-'Retirement Planning'!$I$54)-'Retirement Planning'!$J$50)*'Retirement Planning'!$I$51),('Retirement Planning'!$J$51-'Retirement Planning'!$J$50)*'Retirement Planning'!$I$51))+(MIN(MAX(0,((SUM(Z284:Z295)-'Retirement Planning'!$I$53-'Retirement Planning'!$I$54)-'Retirement Planning'!$J$49)*'Retirement Planning'!$I$50),('Retirement Planning'!$J$50-'Retirement Planning'!$J$49)*'Retirement Planning'!$I$50)+MIN(MAX(0,((SUM(Z284:Z295)-'Retirement Planning'!$I$53-'Retirement Planning'!$I$54)-'Retirement Planning'!$J$48)*'Retirement Planning'!$I$49),('Retirement Planning'!$J$49-'Retirement Planning'!$J$48)*'Retirement Planning'!$I$49)+MIN(((SUM(Z284:Z295)-'Retirement Planning'!$I$53-'Retirement Planning'!$I$54))*'Retirement Planning'!$I$48,('Retirement Planning'!$J$48)*'Retirement Planning'!$I$48))+(IF((SUM(Z284:Z295)-'Retirement Planning'!$I$54-'Retirement Planning'!$I$61)&gt;'Retirement Planning'!$J$59,(SUM(Z284:Z295)-'Retirement Planning'!$I$54-'Retirement Planning'!$I$61-'Retirement Planning'!$J$59)*'Retirement Planning'!$I$60+'Retirement Planning'!$K$59,IF((SUM(Z284:Z295)-'Retirement Planning'!$I$54-'Retirement Planning'!$I$61)&gt;'Retirement Planning'!$J$58,(SUM(Z284:Z295)-'Retirement Planning'!$I$54-'Retirement Planning'!$I$61-'Retirement Planning'!$J$58)*'Retirement Planning'!$I$59+'Retirement Planning'!$K$58,IF((SUM(Z284:Z295)-'Retirement Planning'!$I$54-'Retirement Planning'!$I$61)&gt;'Retirement Planning'!$J$57,(SUM(Z284:Z295)-'Retirement Planning'!$I$54-'Retirement Planning'!$I$61-'Retirement Planning'!$J$57)*'Retirement Planning'!$I$58+'Retirement Planning'!$K$57,IF((SUM(Z284:Z295)-'Retirement Planning'!$I$54-'Retirement Planning'!$I$61)&gt;'Retirement Planning'!$J$56,(SUM(Z284:Z295)-'Retirement Planning'!$I$54-'Retirement Planning'!$I$61-'Retirement Planning'!$J$56)*'Retirement Planning'!$I$57+'Retirement Planning'!$K$56,(SUM(Z284:Z295)-'Retirement Planning'!$I$54-'Retirement Planning'!$I$61)*'Retirement Planning'!$I$56))))))/12,AA295)</f>
        <v>2983.9328271878408</v>
      </c>
      <c r="AB296" s="104">
        <f t="shared" ca="1" si="106"/>
        <v>0.248162537677732</v>
      </c>
      <c r="AC296" s="7">
        <f>IF(B296&lt;65,'Retirement Planning'!$J$28,0)</f>
        <v>0</v>
      </c>
      <c r="AD296" s="7">
        <f>IF(B296&lt;65,'Retirement Planning'!$J$29/12,0)</f>
        <v>0</v>
      </c>
      <c r="AE296" s="22">
        <f>'Retirement Planning'!$J$31/12</f>
        <v>58.333333333333336</v>
      </c>
      <c r="AF296" s="22">
        <f>'Retirement Planning'!$J$32/12</f>
        <v>66.666666666666671</v>
      </c>
      <c r="AG296" s="7">
        <f>IF($B296&gt;64.9,'Retirement Planning'!$J$39/12,0)</f>
        <v>183.33333333333334</v>
      </c>
      <c r="AH296" s="7">
        <f>IF($B296&gt;64.9,'Retirement Planning'!$J$40/12,0)</f>
        <v>258.33333333333331</v>
      </c>
      <c r="AI296" s="7">
        <f>IF($B296&gt;64.9,'Retirement Planning'!$J$41/12,0)</f>
        <v>558.33333333333337</v>
      </c>
      <c r="AJ296" s="7">
        <f t="shared" ca="1" si="116"/>
        <v>316.66666666666663</v>
      </c>
      <c r="AK296" s="3" t="str">
        <f t="shared" ca="1" si="117"/>
        <v>N/A</v>
      </c>
      <c r="AL296" s="6" t="str">
        <f t="shared" ca="1" si="118"/>
        <v>N/A</v>
      </c>
      <c r="AM296" s="7">
        <f t="shared" ca="1" si="119"/>
        <v>1.1368683772161603E-12</v>
      </c>
      <c r="AN296" s="7">
        <f t="shared" ca="1" si="120"/>
        <v>15562.038402317166</v>
      </c>
      <c r="AO296" s="7">
        <f t="shared" si="121"/>
        <v>1125</v>
      </c>
    </row>
    <row r="297" spans="1:41" x14ac:dyDescent="0.2">
      <c r="A297">
        <f t="shared" si="122"/>
        <v>50</v>
      </c>
      <c r="B297" s="5">
        <f t="shared" si="123"/>
        <v>80.2</v>
      </c>
      <c r="C297" s="56">
        <f t="shared" si="124"/>
        <v>55154</v>
      </c>
      <c r="D297" s="57">
        <f ca="1">IF(AND(B296&lt;59.5,OR(B297&gt;59.5,B297=59.5)),(D296-E296+J296-K296)*(1+'Retirement Planning'!$J$23/12),(D296-E296)*(1+'Retirement Planning'!$J$23/12))</f>
        <v>634814.48184230446</v>
      </c>
      <c r="E297" s="58">
        <f t="shared" ca="1" si="111"/>
        <v>1569.8613750449513</v>
      </c>
      <c r="F297" s="57">
        <f ca="1">IF(AND(OR(B297&gt;59.5,B297=59.5),B296&lt;59.5),(F296-G296+L296-M296+N296-O296)*(1+'Retirement Planning'!$J$23/12),(F296-G296)*(1+'Retirement Planning'!$J$23/12))</f>
        <v>1404574.7606329429</v>
      </c>
      <c r="G297" s="58">
        <f ca="1">IF(AND($B$10&lt;55,B297&lt;59.5),'Retirement Planning'!$J$25,IF(OR(B297&gt;59.5,B297=59.5),MAX(0,MIN(F297,IF(D297&lt;2500,((Y297+AJ297+AA297))-X297,((Y297+AJ297+AA297)*'Retirement Planning'!$J$44)-X297))),0))</f>
        <v>11180.042434565412</v>
      </c>
      <c r="H297" s="255">
        <f ca="1">IF(MONTH(C297)=1,IF(B297&gt;69.5,F297/(INDEX('Retirement Planning'!D$1:D$264,(160+INT(B297))))/12,0),IF(F297=0,0,H296))</f>
        <v>10837.768214760361</v>
      </c>
      <c r="I297" s="262">
        <f t="shared" ca="1" si="112"/>
        <v>0</v>
      </c>
      <c r="J297" s="254">
        <f ca="1">IF(AND(B296&lt;59.5,OR(B297=59.5,B297&gt;59.5)),0,(J296-K296)*(1+'Retirement Planning'!$J$23/12))</f>
        <v>0</v>
      </c>
      <c r="K297" s="58">
        <f t="shared" ca="1" si="113"/>
        <v>0</v>
      </c>
      <c r="L297" s="57">
        <f>IF(AND(OR(B297&gt;59.5,B297=59.5),B296&lt;59.5),0,(L296-M296)*(1+'Retirement Planning'!$J$23/12))</f>
        <v>0</v>
      </c>
      <c r="M297" s="59">
        <f>IF(AND($B$10&lt;55,B297&lt;59.5),0,IF(B297&lt;59.5,MAX(0,MIN((($Y297+$AJ297+AA297)*'Retirement Planning'!$J$44)-$G297-$X297,L297)),0))</f>
        <v>0</v>
      </c>
      <c r="N297" s="57">
        <f ca="1">(N296-O296)*(1+'Retirement Planning'!$J$23/12)</f>
        <v>0</v>
      </c>
      <c r="O297" s="59">
        <f ca="1">IF(B297&gt;59.5,MAX(0,MIN((AA297+$Y297+$AJ297)*(IF(D297&lt;(MIN(E285:E296)+1),1,'Retirement Planning'!$J$44))-M297-$G297-$X297-(IF(D297&lt;(MIN(E285:E296)+1),D297,0)),N297)),0)</f>
        <v>0</v>
      </c>
      <c r="P297" s="57">
        <f t="shared" si="125"/>
        <v>0</v>
      </c>
      <c r="Q297" s="58">
        <f t="shared" si="126"/>
        <v>0</v>
      </c>
      <c r="R297" s="57">
        <f ca="1">(R296-S296-T296)*(1+'Retirement Planning'!$J$23/12)</f>
        <v>782547.89664900571</v>
      </c>
      <c r="S297" s="58">
        <f t="shared" ca="1" si="127"/>
        <v>808.33333333333337</v>
      </c>
      <c r="T297" s="273">
        <f t="shared" ca="1" si="114"/>
        <v>1.3642420526593924E-12</v>
      </c>
      <c r="U297" s="57">
        <f ca="1">(U296-V296)*(1+'Retirement Planning'!$J$23/12)</f>
        <v>521914.98226032895</v>
      </c>
      <c r="V297" s="24">
        <f ca="1">IF(AND($B$10&lt;55,B297&lt;59.5),MIN(U297,MAX(0,(Y297+AA297+AJ297-G297)*'Retirement Planning'!$J$45)),IF(B297&lt;59.5,(MIN(U297,MAX(0,((Y297+AA297+AJ297)-G297-M297)*'Retirement Planning'!$J$45))),MIN(U297,MAX(0,(Y297+AA297+AJ297-G297-M297-K297-X297)*'Retirement Planning'!$J$45))))</f>
        <v>1337.2893194827368</v>
      </c>
      <c r="W297" s="7">
        <f t="shared" ca="1" si="115"/>
        <v>3343852.1213845825</v>
      </c>
      <c r="X297" s="7">
        <f>(IF(B297&gt;'Retirement Planning'!$J$34,IF('Retirement Planning'!$J$34=70,'Retirement Planning'!$J$37/12,IF('Retirement Planning'!$J$34=67,'Retirement Planning'!$J$36/12,'Retirement Planning'!$J$35/12)),0))*'Retirement Planning'!$J$38</f>
        <v>1213.6000000000001</v>
      </c>
      <c r="Y297" s="7">
        <f ca="1">'Retirement Planning'!$F$35*((1+'Retirement Planning'!$J$24)^(YEAR('Projected Retirement Drawdown'!C297)-YEAR(TODAY())))</f>
        <v>11853.964270258852</v>
      </c>
      <c r="Z297" s="7">
        <f ca="1">G297+M297+O297+0.85*X297+V297*'Retirement Planning'!$J$46+T297</f>
        <v>12947.111560280919</v>
      </c>
      <c r="AA297" s="7">
        <f ca="1">IF(MONTH(C297)=1,(((MIN(MAX(0,((SUM(Z285:Z296)-'Retirement Planning'!$I$53-'Retirement Planning'!$I$54)-'Retirement Planning'!$J$51)*'Retirement Planning'!$I$52))))+(MIN(MAX(0,((SUM(Z285:Z296)-'Retirement Planning'!$I$53-'Retirement Planning'!$I$54)-'Retirement Planning'!$J$50)*'Retirement Planning'!$I$51),('Retirement Planning'!$J$51-'Retirement Planning'!$J$50)*'Retirement Planning'!$I$51))+(MIN(MAX(0,((SUM(Z285:Z296)-'Retirement Planning'!$I$53-'Retirement Planning'!$I$54)-'Retirement Planning'!$J$49)*'Retirement Planning'!$I$50),('Retirement Planning'!$J$50-'Retirement Planning'!$J$49)*'Retirement Planning'!$I$50)+MIN(MAX(0,((SUM(Z285:Z296)-'Retirement Planning'!$I$53-'Retirement Planning'!$I$54)-'Retirement Planning'!$J$48)*'Retirement Planning'!$I$49),('Retirement Planning'!$J$49-'Retirement Planning'!$J$48)*'Retirement Planning'!$I$49)+MIN(((SUM(Z285:Z296)-'Retirement Planning'!$I$53-'Retirement Planning'!$I$54))*'Retirement Planning'!$I$48,('Retirement Planning'!$J$48)*'Retirement Planning'!$I$48))+(IF((SUM(Z285:Z296)-'Retirement Planning'!$I$54-'Retirement Planning'!$I$61)&gt;'Retirement Planning'!$J$59,(SUM(Z285:Z296)-'Retirement Planning'!$I$54-'Retirement Planning'!$I$61-'Retirement Planning'!$J$59)*'Retirement Planning'!$I$60+'Retirement Planning'!$K$59,IF((SUM(Z285:Z296)-'Retirement Planning'!$I$54-'Retirement Planning'!$I$61)&gt;'Retirement Planning'!$J$58,(SUM(Z285:Z296)-'Retirement Planning'!$I$54-'Retirement Planning'!$I$61-'Retirement Planning'!$J$58)*'Retirement Planning'!$I$59+'Retirement Planning'!$K$58,IF((SUM(Z285:Z296)-'Retirement Planning'!$I$54-'Retirement Planning'!$I$61)&gt;'Retirement Planning'!$J$57,(SUM(Z285:Z296)-'Retirement Planning'!$I$54-'Retirement Planning'!$I$61-'Retirement Planning'!$J$57)*'Retirement Planning'!$I$58+'Retirement Planning'!$K$57,IF((SUM(Z285:Z296)-'Retirement Planning'!$I$54-'Retirement Planning'!$I$61)&gt;'Retirement Planning'!$J$56,(SUM(Z285:Z296)-'Retirement Planning'!$I$54-'Retirement Planning'!$I$61-'Retirement Planning'!$J$56)*'Retirement Planning'!$I$57+'Retirement Planning'!$K$56,(SUM(Z285:Z296)-'Retirement Planning'!$I$54-'Retirement Planning'!$I$61)*'Retirement Planning'!$I$56))))))/12,AA296)</f>
        <v>3130.1621921675833</v>
      </c>
      <c r="AB297" s="104">
        <f t="shared" ref="AB297" ca="1" si="132">SUM(AA297:AA308)/SUM(Z285:Z296)</f>
        <v>0.25086107931694401</v>
      </c>
      <c r="AC297" s="7">
        <f>IF(B297&lt;65,'Retirement Planning'!$J$28,0)</f>
        <v>0</v>
      </c>
      <c r="AD297" s="7">
        <f>IF(B297&lt;65,'Retirement Planning'!$J$29/12,0)</f>
        <v>0</v>
      </c>
      <c r="AE297" s="22">
        <f>'Retirement Planning'!$J$31/12</f>
        <v>58.333333333333336</v>
      </c>
      <c r="AF297" s="22">
        <f>'Retirement Planning'!$J$32/12</f>
        <v>66.666666666666671</v>
      </c>
      <c r="AG297" s="7">
        <f>IF($B297&gt;64.9,'Retirement Planning'!$J$39/12,0)</f>
        <v>183.33333333333334</v>
      </c>
      <c r="AH297" s="7">
        <f>IF($B297&gt;64.9,'Retirement Planning'!$J$40/12,0)</f>
        <v>258.33333333333331</v>
      </c>
      <c r="AI297" s="7">
        <f>IF($B297&gt;64.9,'Retirement Planning'!$J$41/12,0)</f>
        <v>558.33333333333337</v>
      </c>
      <c r="AJ297" s="7">
        <f t="shared" ca="1" si="116"/>
        <v>316.66666666666663</v>
      </c>
      <c r="AK297" s="3" t="str">
        <f t="shared" ca="1" si="117"/>
        <v>N/A</v>
      </c>
      <c r="AL297" s="6" t="str">
        <f t="shared" ca="1" si="118"/>
        <v>N/A</v>
      </c>
      <c r="AM297" s="7">
        <f t="shared" ca="1" si="119"/>
        <v>1.1368683772161603E-12</v>
      </c>
      <c r="AN297" s="7">
        <f t="shared" ca="1" si="120"/>
        <v>16109.126462426435</v>
      </c>
      <c r="AO297" s="7">
        <f t="shared" si="121"/>
        <v>1125</v>
      </c>
    </row>
    <row r="298" spans="1:41" x14ac:dyDescent="0.2">
      <c r="A298">
        <f t="shared" si="122"/>
        <v>50</v>
      </c>
      <c r="B298" s="5">
        <f t="shared" si="123"/>
        <v>80.3</v>
      </c>
      <c r="C298" s="56">
        <f t="shared" si="124"/>
        <v>55185</v>
      </c>
      <c r="D298" s="57">
        <f ca="1">IF(AND(B297&lt;59.5,OR(B298&gt;59.5,B298=59.5)),(D297-E297+J297-K297)*(1+'Retirement Planning'!$J$23/12),(D297-E297)*(1+'Retirement Planning'!$J$23/12))</f>
        <v>637730.10319556925</v>
      </c>
      <c r="E298" s="58">
        <f t="shared" ca="1" si="111"/>
        <v>1569.8613750449513</v>
      </c>
      <c r="F298" s="57">
        <f ca="1">IF(AND(OR(B298&gt;59.5,B298=59.5),B297&lt;59.5),(F297-G297+L297-M297+N297-O297)*(1+'Retirement Planning'!$J$23/12),(F297-G297)*(1+'Retirement Planning'!$J$23/12))</f>
        <v>1403264.5974522827</v>
      </c>
      <c r="G298" s="58">
        <f ca="1">IF(AND($B$10&lt;55,B298&lt;59.5),'Retirement Planning'!$J$25,IF(OR(B298&gt;59.5,B298=59.5),MAX(0,MIN(F298,IF(D298&lt;2500,((Y298+AJ298+AA298))-X298,((Y298+AJ298+AA298)*'Retirement Planning'!$J$44)-X298))),0))</f>
        <v>11180.042434565412</v>
      </c>
      <c r="H298" s="255">
        <f ca="1">IF(MONTH(C298)=1,IF(B298&gt;69.5,F298/(INDEX('Retirement Planning'!D$1:D$264,(160+INT(B298))))/12,0),IF(F298=0,0,H297))</f>
        <v>10837.768214760361</v>
      </c>
      <c r="I298" s="262">
        <f t="shared" ca="1" si="112"/>
        <v>0</v>
      </c>
      <c r="J298" s="254">
        <f ca="1">IF(AND(B297&lt;59.5,OR(B298=59.5,B298&gt;59.5)),0,(J297-K297)*(1+'Retirement Planning'!$J$23/12))</f>
        <v>0</v>
      </c>
      <c r="K298" s="58">
        <f t="shared" ca="1" si="113"/>
        <v>0</v>
      </c>
      <c r="L298" s="57">
        <f>IF(AND(OR(B298&gt;59.5,B298=59.5),B297&lt;59.5),0,(L297-M297)*(1+'Retirement Planning'!$J$23/12))</f>
        <v>0</v>
      </c>
      <c r="M298" s="59">
        <f>IF(AND($B$10&lt;55,B298&lt;59.5),0,IF(B298&lt;59.5,MAX(0,MIN((($Y298+$AJ298+AA298)*'Retirement Planning'!$J$44)-$G298-$X298,L298)),0))</f>
        <v>0</v>
      </c>
      <c r="N298" s="57">
        <f ca="1">(N297-O297)*(1+'Retirement Planning'!$J$23/12)</f>
        <v>0</v>
      </c>
      <c r="O298" s="59">
        <f ca="1">IF(B298&gt;59.5,MAX(0,MIN((AA298+$Y298+$AJ298)*(IF(D298&lt;(MIN(E286:E297)+1),1,'Retirement Planning'!$J$44))-M298-$G298-$X298-(IF(D298&lt;(MIN(E286:E297)+1),D298,0)),N298)),0)</f>
        <v>0</v>
      </c>
      <c r="P298" s="57">
        <f t="shared" si="125"/>
        <v>0</v>
      </c>
      <c r="Q298" s="58">
        <f t="shared" si="126"/>
        <v>0</v>
      </c>
      <c r="R298" s="57">
        <f ca="1">(R297-S297-T297)*(1+'Retirement Planning'!$J$23/12)</f>
        <v>787276.88522249169</v>
      </c>
      <c r="S298" s="58">
        <f t="shared" ca="1" si="127"/>
        <v>808.33333333333337</v>
      </c>
      <c r="T298" s="273">
        <f t="shared" ca="1" si="114"/>
        <v>1.3642420526593924E-12</v>
      </c>
      <c r="U298" s="57">
        <f ca="1">(U297-V297)*(1+'Retirement Planning'!$J$23/12)</f>
        <v>524265.11826584383</v>
      </c>
      <c r="V298" s="24">
        <f ca="1">IF(AND($B$10&lt;55,B298&lt;59.5),MIN(U298,MAX(0,(Y298+AA298+AJ298-G298)*'Retirement Planning'!$J$45)),IF(B298&lt;59.5,(MIN(U298,MAX(0,((Y298+AA298+AJ298)-G298-M298)*'Retirement Planning'!$J$45))),MIN(U298,MAX(0,(Y298+AA298+AJ298-G298-M298-K298-X298)*'Retirement Planning'!$J$45))))</f>
        <v>1337.2893194827368</v>
      </c>
      <c r="W298" s="7">
        <f t="shared" ca="1" si="115"/>
        <v>3352536.7041361877</v>
      </c>
      <c r="X298" s="7">
        <f>(IF(B298&gt;'Retirement Planning'!$J$34,IF('Retirement Planning'!$J$34=70,'Retirement Planning'!$J$37/12,IF('Retirement Planning'!$J$34=67,'Retirement Planning'!$J$36/12,'Retirement Planning'!$J$35/12)),0))*'Retirement Planning'!$J$38</f>
        <v>1213.6000000000001</v>
      </c>
      <c r="Y298" s="7">
        <f ca="1">'Retirement Planning'!$F$35*((1+'Retirement Planning'!$J$24)^(YEAR('Projected Retirement Drawdown'!C298)-YEAR(TODAY())))</f>
        <v>11853.964270258852</v>
      </c>
      <c r="Z298" s="7">
        <f ca="1">G298+M298+O298+0.85*X298+V298*'Retirement Planning'!$J$46+T298</f>
        <v>12947.111560280919</v>
      </c>
      <c r="AA298" s="7">
        <f ca="1">IF(MONTH(C298)=1,(((MIN(MAX(0,((SUM(Z286:Z297)-'Retirement Planning'!$I$53-'Retirement Planning'!$I$54)-'Retirement Planning'!$J$51)*'Retirement Planning'!$I$52))))+(MIN(MAX(0,((SUM(Z286:Z297)-'Retirement Planning'!$I$53-'Retirement Planning'!$I$54)-'Retirement Planning'!$J$50)*'Retirement Planning'!$I$51),('Retirement Planning'!$J$51-'Retirement Planning'!$J$50)*'Retirement Planning'!$I$51))+(MIN(MAX(0,((SUM(Z286:Z297)-'Retirement Planning'!$I$53-'Retirement Planning'!$I$54)-'Retirement Planning'!$J$49)*'Retirement Planning'!$I$50),('Retirement Planning'!$J$50-'Retirement Planning'!$J$49)*'Retirement Planning'!$I$50)+MIN(MAX(0,((SUM(Z286:Z297)-'Retirement Planning'!$I$53-'Retirement Planning'!$I$54)-'Retirement Planning'!$J$48)*'Retirement Planning'!$I$49),('Retirement Planning'!$J$49-'Retirement Planning'!$J$48)*'Retirement Planning'!$I$49)+MIN(((SUM(Z286:Z297)-'Retirement Planning'!$I$53-'Retirement Planning'!$I$54))*'Retirement Planning'!$I$48,('Retirement Planning'!$J$48)*'Retirement Planning'!$I$48))+(IF((SUM(Z286:Z297)-'Retirement Planning'!$I$54-'Retirement Planning'!$I$61)&gt;'Retirement Planning'!$J$59,(SUM(Z286:Z297)-'Retirement Planning'!$I$54-'Retirement Planning'!$I$61-'Retirement Planning'!$J$59)*'Retirement Planning'!$I$60+'Retirement Planning'!$K$59,IF((SUM(Z286:Z297)-'Retirement Planning'!$I$54-'Retirement Planning'!$I$61)&gt;'Retirement Planning'!$J$58,(SUM(Z286:Z297)-'Retirement Planning'!$I$54-'Retirement Planning'!$I$61-'Retirement Planning'!$J$58)*'Retirement Planning'!$I$59+'Retirement Planning'!$K$58,IF((SUM(Z286:Z297)-'Retirement Planning'!$I$54-'Retirement Planning'!$I$61)&gt;'Retirement Planning'!$J$57,(SUM(Z286:Z297)-'Retirement Planning'!$I$54-'Retirement Planning'!$I$61-'Retirement Planning'!$J$57)*'Retirement Planning'!$I$58+'Retirement Planning'!$K$57,IF((SUM(Z286:Z297)-'Retirement Planning'!$I$54-'Retirement Planning'!$I$61)&gt;'Retirement Planning'!$J$56,(SUM(Z286:Z297)-'Retirement Planning'!$I$54-'Retirement Planning'!$I$61-'Retirement Planning'!$J$56)*'Retirement Planning'!$I$57+'Retirement Planning'!$K$56,(SUM(Z286:Z297)-'Retirement Planning'!$I$54-'Retirement Planning'!$I$61)*'Retirement Planning'!$I$56))))))/12,AA297)</f>
        <v>3130.1621921675833</v>
      </c>
      <c r="AB298" s="104">
        <f t="shared" ref="AB298:AB361" ca="1" si="133">AB297</f>
        <v>0.25086107931694401</v>
      </c>
      <c r="AC298" s="7">
        <f>IF(B298&lt;65,'Retirement Planning'!$J$28,0)</f>
        <v>0</v>
      </c>
      <c r="AD298" s="7">
        <f>IF(B298&lt;65,'Retirement Planning'!$J$29/12,0)</f>
        <v>0</v>
      </c>
      <c r="AE298" s="22">
        <f>'Retirement Planning'!$J$31/12</f>
        <v>58.333333333333336</v>
      </c>
      <c r="AF298" s="22">
        <f>'Retirement Planning'!$J$32/12</f>
        <v>66.666666666666671</v>
      </c>
      <c r="AG298" s="7">
        <f>IF($B298&gt;64.9,'Retirement Planning'!$J$39/12,0)</f>
        <v>183.33333333333334</v>
      </c>
      <c r="AH298" s="7">
        <f>IF($B298&gt;64.9,'Retirement Planning'!$J$40/12,0)</f>
        <v>258.33333333333331</v>
      </c>
      <c r="AI298" s="7">
        <f>IF($B298&gt;64.9,'Retirement Planning'!$J$41/12,0)</f>
        <v>558.33333333333337</v>
      </c>
      <c r="AJ298" s="7">
        <f t="shared" ca="1" si="116"/>
        <v>316.66666666666663</v>
      </c>
      <c r="AK298" s="3" t="str">
        <f t="shared" ca="1" si="117"/>
        <v>N/A</v>
      </c>
      <c r="AL298" s="6" t="str">
        <f t="shared" ca="1" si="118"/>
        <v>N/A</v>
      </c>
      <c r="AM298" s="7">
        <f t="shared" ca="1" si="119"/>
        <v>1.1368683772161603E-12</v>
      </c>
      <c r="AN298" s="7">
        <f t="shared" ca="1" si="120"/>
        <v>16109.126462426435</v>
      </c>
      <c r="AO298" s="7">
        <f t="shared" si="121"/>
        <v>1125</v>
      </c>
    </row>
    <row r="299" spans="1:41" x14ac:dyDescent="0.2">
      <c r="A299">
        <f t="shared" si="122"/>
        <v>50</v>
      </c>
      <c r="B299" s="5">
        <f t="shared" si="123"/>
        <v>80.400000000000006</v>
      </c>
      <c r="C299" s="56">
        <f t="shared" si="124"/>
        <v>55213</v>
      </c>
      <c r="D299" s="57">
        <f ca="1">IF(AND(B298&lt;59.5,OR(B299&gt;59.5,B299=59.5)),(D298-E298+J298-K298)*(1+'Retirement Planning'!$J$23/12),(D298-E298)*(1+'Retirement Planning'!$J$23/12))</f>
        <v>640666.3768667531</v>
      </c>
      <c r="E299" s="58">
        <f t="shared" ca="1" si="111"/>
        <v>1569.8613750449513</v>
      </c>
      <c r="F299" s="57">
        <f ca="1">IF(AND(OR(B299&gt;59.5,B299=59.5),B298&lt;59.5),(F298-G298+L298-M298+N298-O298)*(1+'Retirement Planning'!$J$23/12),(F298-G298)*(1+'Retirement Planning'!$J$23/12))</f>
        <v>1401945.1539490926</v>
      </c>
      <c r="G299" s="58">
        <f ca="1">IF(AND($B$10&lt;55,B299&lt;59.5),'Retirement Planning'!$J$25,IF(OR(B299&gt;59.5,B299=59.5),MAX(0,MIN(F299,IF(D299&lt;2500,((Y299+AJ299+AA299))-X299,((Y299+AJ299+AA299)*'Retirement Planning'!$J$44)-X299))),0))</f>
        <v>11180.042434565412</v>
      </c>
      <c r="H299" s="255">
        <f ca="1">IF(MONTH(C299)=1,IF(B299&gt;69.5,F299/(INDEX('Retirement Planning'!D$1:D$264,(160+INT(B299))))/12,0),IF(F299=0,0,H298))</f>
        <v>10837.768214760361</v>
      </c>
      <c r="I299" s="262">
        <f t="shared" ca="1" si="112"/>
        <v>0</v>
      </c>
      <c r="J299" s="254">
        <f ca="1">IF(AND(B298&lt;59.5,OR(B299=59.5,B299&gt;59.5)),0,(J298-K298)*(1+'Retirement Planning'!$J$23/12))</f>
        <v>0</v>
      </c>
      <c r="K299" s="58">
        <f t="shared" ca="1" si="113"/>
        <v>0</v>
      </c>
      <c r="L299" s="57">
        <f>IF(AND(OR(B299&gt;59.5,B299=59.5),B298&lt;59.5),0,(L298-M298)*(1+'Retirement Planning'!$J$23/12))</f>
        <v>0</v>
      </c>
      <c r="M299" s="59">
        <f>IF(AND($B$10&lt;55,B299&lt;59.5),0,IF(B299&lt;59.5,MAX(0,MIN((($Y299+$AJ299+AA299)*'Retirement Planning'!$J$44)-$G299-$X299,L299)),0))</f>
        <v>0</v>
      </c>
      <c r="N299" s="57">
        <f ca="1">(N298-O298)*(1+'Retirement Planning'!$J$23/12)</f>
        <v>0</v>
      </c>
      <c r="O299" s="59">
        <f ca="1">IF(B299&gt;59.5,MAX(0,MIN((AA299+$Y299+$AJ299)*(IF(D299&lt;(MIN(E287:E298)+1),1,'Retirement Planning'!$J$44))-M299-$G299-$X299-(IF(D299&lt;(MIN(E287:E298)+1),D299,0)),N299)),0)</f>
        <v>0</v>
      </c>
      <c r="P299" s="57">
        <f t="shared" si="125"/>
        <v>0</v>
      </c>
      <c r="Q299" s="58">
        <f t="shared" si="126"/>
        <v>0</v>
      </c>
      <c r="R299" s="57">
        <f ca="1">(R298-S298-T298)*(1+'Retirement Planning'!$J$23/12)</f>
        <v>792039.37079837325</v>
      </c>
      <c r="S299" s="58">
        <f t="shared" ca="1" si="127"/>
        <v>808.33333333333337</v>
      </c>
      <c r="T299" s="273">
        <f t="shared" ca="1" si="114"/>
        <v>1.3642420526593924E-12</v>
      </c>
      <c r="U299" s="57">
        <f ca="1">(U298-V298)*(1+'Retirement Planning'!$J$23/12)</f>
        <v>526631.9010680645</v>
      </c>
      <c r="V299" s="24">
        <f ca="1">IF(AND($B$10&lt;55,B299&lt;59.5),MIN(U299,MAX(0,(Y299+AA299+AJ299-G299)*'Retirement Planning'!$J$45)),IF(B299&lt;59.5,(MIN(U299,MAX(0,((Y299+AA299+AJ299)-G299-M299)*'Retirement Planning'!$J$45))),MIN(U299,MAX(0,(Y299+AA299+AJ299-G299-M299-K299-X299)*'Retirement Planning'!$J$45))))</f>
        <v>1337.2893194827368</v>
      </c>
      <c r="W299" s="7">
        <f t="shared" ca="1" si="115"/>
        <v>3361282.8026822833</v>
      </c>
      <c r="X299" s="7">
        <f>(IF(B299&gt;'Retirement Planning'!$J$34,IF('Retirement Planning'!$J$34=70,'Retirement Planning'!$J$37/12,IF('Retirement Planning'!$J$34=67,'Retirement Planning'!$J$36/12,'Retirement Planning'!$J$35/12)),0))*'Retirement Planning'!$J$38</f>
        <v>1213.6000000000001</v>
      </c>
      <c r="Y299" s="7">
        <f ca="1">'Retirement Planning'!$F$35*((1+'Retirement Planning'!$J$24)^(YEAR('Projected Retirement Drawdown'!C299)-YEAR(TODAY())))</f>
        <v>11853.964270258852</v>
      </c>
      <c r="Z299" s="7">
        <f ca="1">G299+M299+O299+0.85*X299+V299*'Retirement Planning'!$J$46+T299</f>
        <v>12947.111560280919</v>
      </c>
      <c r="AA299" s="7">
        <f ca="1">IF(MONTH(C299)=1,(((MIN(MAX(0,((SUM(Z287:Z298)-'Retirement Planning'!$I$53-'Retirement Planning'!$I$54)-'Retirement Planning'!$J$51)*'Retirement Planning'!$I$52))))+(MIN(MAX(0,((SUM(Z287:Z298)-'Retirement Planning'!$I$53-'Retirement Planning'!$I$54)-'Retirement Planning'!$J$50)*'Retirement Planning'!$I$51),('Retirement Planning'!$J$51-'Retirement Planning'!$J$50)*'Retirement Planning'!$I$51))+(MIN(MAX(0,((SUM(Z287:Z298)-'Retirement Planning'!$I$53-'Retirement Planning'!$I$54)-'Retirement Planning'!$J$49)*'Retirement Planning'!$I$50),('Retirement Planning'!$J$50-'Retirement Planning'!$J$49)*'Retirement Planning'!$I$50)+MIN(MAX(0,((SUM(Z287:Z298)-'Retirement Planning'!$I$53-'Retirement Planning'!$I$54)-'Retirement Planning'!$J$48)*'Retirement Planning'!$I$49),('Retirement Planning'!$J$49-'Retirement Planning'!$J$48)*'Retirement Planning'!$I$49)+MIN(((SUM(Z287:Z298)-'Retirement Planning'!$I$53-'Retirement Planning'!$I$54))*'Retirement Planning'!$I$48,('Retirement Planning'!$J$48)*'Retirement Planning'!$I$48))+(IF((SUM(Z287:Z298)-'Retirement Planning'!$I$54-'Retirement Planning'!$I$61)&gt;'Retirement Planning'!$J$59,(SUM(Z287:Z298)-'Retirement Planning'!$I$54-'Retirement Planning'!$I$61-'Retirement Planning'!$J$59)*'Retirement Planning'!$I$60+'Retirement Planning'!$K$59,IF((SUM(Z287:Z298)-'Retirement Planning'!$I$54-'Retirement Planning'!$I$61)&gt;'Retirement Planning'!$J$58,(SUM(Z287:Z298)-'Retirement Planning'!$I$54-'Retirement Planning'!$I$61-'Retirement Planning'!$J$58)*'Retirement Planning'!$I$59+'Retirement Planning'!$K$58,IF((SUM(Z287:Z298)-'Retirement Planning'!$I$54-'Retirement Planning'!$I$61)&gt;'Retirement Planning'!$J$57,(SUM(Z287:Z298)-'Retirement Planning'!$I$54-'Retirement Planning'!$I$61-'Retirement Planning'!$J$57)*'Retirement Planning'!$I$58+'Retirement Planning'!$K$57,IF((SUM(Z287:Z298)-'Retirement Planning'!$I$54-'Retirement Planning'!$I$61)&gt;'Retirement Planning'!$J$56,(SUM(Z287:Z298)-'Retirement Planning'!$I$54-'Retirement Planning'!$I$61-'Retirement Planning'!$J$56)*'Retirement Planning'!$I$57+'Retirement Planning'!$K$56,(SUM(Z287:Z298)-'Retirement Planning'!$I$54-'Retirement Planning'!$I$61)*'Retirement Planning'!$I$56))))))/12,AA298)</f>
        <v>3130.1621921675833</v>
      </c>
      <c r="AB299" s="104">
        <f t="shared" ca="1" si="106"/>
        <v>0.25086107931694401</v>
      </c>
      <c r="AC299" s="7">
        <f>IF(B299&lt;65,'Retirement Planning'!$J$28,0)</f>
        <v>0</v>
      </c>
      <c r="AD299" s="7">
        <f>IF(B299&lt;65,'Retirement Planning'!$J$29/12,0)</f>
        <v>0</v>
      </c>
      <c r="AE299" s="22">
        <f>'Retirement Planning'!$J$31/12</f>
        <v>58.333333333333336</v>
      </c>
      <c r="AF299" s="22">
        <f>'Retirement Planning'!$J$32/12</f>
        <v>66.666666666666671</v>
      </c>
      <c r="AG299" s="7">
        <f>IF($B299&gt;64.9,'Retirement Planning'!$J$39/12,0)</f>
        <v>183.33333333333334</v>
      </c>
      <c r="AH299" s="7">
        <f>IF($B299&gt;64.9,'Retirement Planning'!$J$40/12,0)</f>
        <v>258.33333333333331</v>
      </c>
      <c r="AI299" s="7">
        <f>IF($B299&gt;64.9,'Retirement Planning'!$J$41/12,0)</f>
        <v>558.33333333333337</v>
      </c>
      <c r="AJ299" s="7">
        <f t="shared" ca="1" si="116"/>
        <v>316.66666666666663</v>
      </c>
      <c r="AK299" s="3" t="str">
        <f t="shared" ca="1" si="117"/>
        <v>N/A</v>
      </c>
      <c r="AL299" s="6" t="str">
        <f t="shared" ca="1" si="118"/>
        <v>N/A</v>
      </c>
      <c r="AM299" s="7">
        <f t="shared" ca="1" si="119"/>
        <v>1.1368683772161603E-12</v>
      </c>
      <c r="AN299" s="7">
        <f t="shared" ca="1" si="120"/>
        <v>16109.126462426435</v>
      </c>
      <c r="AO299" s="7">
        <f t="shared" si="121"/>
        <v>1125</v>
      </c>
    </row>
    <row r="300" spans="1:41" x14ac:dyDescent="0.2">
      <c r="A300">
        <f t="shared" si="122"/>
        <v>50</v>
      </c>
      <c r="B300" s="5">
        <f t="shared" si="123"/>
        <v>80.5</v>
      </c>
      <c r="C300" s="56">
        <f t="shared" si="124"/>
        <v>55244</v>
      </c>
      <c r="D300" s="57">
        <f ca="1">IF(AND(B299&lt;59.5,OR(B300&gt;59.5,B300=59.5)),(D299-E299+J299-K299)*(1+'Retirement Planning'!$J$23/12),(D299-E299)*(1+'Retirement Planning'!$J$23/12))</f>
        <v>643623.44914310775</v>
      </c>
      <c r="E300" s="58">
        <f t="shared" ca="1" si="111"/>
        <v>1569.8613750449513</v>
      </c>
      <c r="F300" s="57">
        <f ca="1">IF(AND(OR(B300&gt;59.5,B300=59.5),B299&lt;59.5),(F299-G299+L299-M299+N299-O299)*(1+'Retirement Planning'!$J$23/12),(F299-G299)*(1+'Retirement Planning'!$J$23/12))</f>
        <v>1400616.364387755</v>
      </c>
      <c r="G300" s="58">
        <f ca="1">IF(AND($B$10&lt;55,B300&lt;59.5),'Retirement Planning'!$J$25,IF(OR(B300&gt;59.5,B300=59.5),MAX(0,MIN(F300,IF(D300&lt;2500,((Y300+AJ300+AA300))-X300,((Y300+AJ300+AA300)*'Retirement Planning'!$J$44)-X300))),0))</f>
        <v>11180.042434565412</v>
      </c>
      <c r="H300" s="255">
        <f ca="1">IF(MONTH(C300)=1,IF(B300&gt;69.5,F300/(INDEX('Retirement Planning'!D$1:D$264,(160+INT(B300))))/12,0),IF(F300=0,0,H299))</f>
        <v>10837.768214760361</v>
      </c>
      <c r="I300" s="262">
        <f t="shared" ca="1" si="112"/>
        <v>0</v>
      </c>
      <c r="J300" s="254">
        <f ca="1">IF(AND(B299&lt;59.5,OR(B300=59.5,B300&gt;59.5)),0,(J299-K299)*(1+'Retirement Planning'!$J$23/12))</f>
        <v>0</v>
      </c>
      <c r="K300" s="58">
        <f t="shared" ca="1" si="113"/>
        <v>0</v>
      </c>
      <c r="L300" s="57">
        <f>IF(AND(OR(B300&gt;59.5,B300=59.5),B299&lt;59.5),0,(L299-M299)*(1+'Retirement Planning'!$J$23/12))</f>
        <v>0</v>
      </c>
      <c r="M300" s="59">
        <f>IF(AND($B$10&lt;55,B300&lt;59.5),0,IF(B300&lt;59.5,MAX(0,MIN((($Y300+$AJ300+AA300)*'Retirement Planning'!$J$44)-$G300-$X300,L300)),0))</f>
        <v>0</v>
      </c>
      <c r="N300" s="57">
        <f ca="1">(N299-O299)*(1+'Retirement Planning'!$J$23/12)</f>
        <v>0</v>
      </c>
      <c r="O300" s="59">
        <f ca="1">IF(B300&gt;59.5,MAX(0,MIN((AA300+$Y300+$AJ300)*(IF(D300&lt;(MIN(E288:E299)+1),1,'Retirement Planning'!$J$44))-M300-$G300-$X300-(IF(D300&lt;(MIN(E288:E299)+1),D300,0)),N300)),0)</f>
        <v>0</v>
      </c>
      <c r="P300" s="57">
        <f t="shared" si="125"/>
        <v>0</v>
      </c>
      <c r="Q300" s="58">
        <f t="shared" si="126"/>
        <v>0</v>
      </c>
      <c r="R300" s="57">
        <f ca="1">(R299-S299-T299)*(1+'Retirement Planning'!$J$23/12)</f>
        <v>796835.59064708394</v>
      </c>
      <c r="S300" s="58">
        <f t="shared" ca="1" si="127"/>
        <v>808.33333333333337</v>
      </c>
      <c r="T300" s="273">
        <f t="shared" ca="1" si="114"/>
        <v>1.3642420526593924E-12</v>
      </c>
      <c r="U300" s="57">
        <f ca="1">(U299-V299)*(1+'Retirement Planning'!$J$23/12)</f>
        <v>529015.44858180091</v>
      </c>
      <c r="V300" s="24">
        <f ca="1">IF(AND($B$10&lt;55,B300&lt;59.5),MIN(U300,MAX(0,(Y300+AA300+AJ300-G300)*'Retirement Planning'!$J$45)),IF(B300&lt;59.5,(MIN(U300,MAX(0,((Y300+AA300+AJ300)-G300-M300)*'Retirement Planning'!$J$45))),MIN(U300,MAX(0,(Y300+AA300+AJ300-G300-M300-K300-X300)*'Retirement Planning'!$J$45))))</f>
        <v>1337.2893194827368</v>
      </c>
      <c r="W300" s="7">
        <f t="shared" ca="1" si="115"/>
        <v>3370090.8527597478</v>
      </c>
      <c r="X300" s="7">
        <f>(IF(B300&gt;'Retirement Planning'!$J$34,IF('Retirement Planning'!$J$34=70,'Retirement Planning'!$J$37/12,IF('Retirement Planning'!$J$34=67,'Retirement Planning'!$J$36/12,'Retirement Planning'!$J$35/12)),0))*'Retirement Planning'!$J$38</f>
        <v>1213.6000000000001</v>
      </c>
      <c r="Y300" s="7">
        <f ca="1">'Retirement Planning'!$F$35*((1+'Retirement Planning'!$J$24)^(YEAR('Projected Retirement Drawdown'!C300)-YEAR(TODAY())))</f>
        <v>11853.964270258852</v>
      </c>
      <c r="Z300" s="7">
        <f ca="1">G300+M300+O300+0.85*X300+V300*'Retirement Planning'!$J$46+T300</f>
        <v>12947.111560280919</v>
      </c>
      <c r="AA300" s="7">
        <f ca="1">IF(MONTH(C300)=1,(((MIN(MAX(0,((SUM(Z288:Z299)-'Retirement Planning'!$I$53-'Retirement Planning'!$I$54)-'Retirement Planning'!$J$51)*'Retirement Planning'!$I$52))))+(MIN(MAX(0,((SUM(Z288:Z299)-'Retirement Planning'!$I$53-'Retirement Planning'!$I$54)-'Retirement Planning'!$J$50)*'Retirement Planning'!$I$51),('Retirement Planning'!$J$51-'Retirement Planning'!$J$50)*'Retirement Planning'!$I$51))+(MIN(MAX(0,((SUM(Z288:Z299)-'Retirement Planning'!$I$53-'Retirement Planning'!$I$54)-'Retirement Planning'!$J$49)*'Retirement Planning'!$I$50),('Retirement Planning'!$J$50-'Retirement Planning'!$J$49)*'Retirement Planning'!$I$50)+MIN(MAX(0,((SUM(Z288:Z299)-'Retirement Planning'!$I$53-'Retirement Planning'!$I$54)-'Retirement Planning'!$J$48)*'Retirement Planning'!$I$49),('Retirement Planning'!$J$49-'Retirement Planning'!$J$48)*'Retirement Planning'!$I$49)+MIN(((SUM(Z288:Z299)-'Retirement Planning'!$I$53-'Retirement Planning'!$I$54))*'Retirement Planning'!$I$48,('Retirement Planning'!$J$48)*'Retirement Planning'!$I$48))+(IF((SUM(Z288:Z299)-'Retirement Planning'!$I$54-'Retirement Planning'!$I$61)&gt;'Retirement Planning'!$J$59,(SUM(Z288:Z299)-'Retirement Planning'!$I$54-'Retirement Planning'!$I$61-'Retirement Planning'!$J$59)*'Retirement Planning'!$I$60+'Retirement Planning'!$K$59,IF((SUM(Z288:Z299)-'Retirement Planning'!$I$54-'Retirement Planning'!$I$61)&gt;'Retirement Planning'!$J$58,(SUM(Z288:Z299)-'Retirement Planning'!$I$54-'Retirement Planning'!$I$61-'Retirement Planning'!$J$58)*'Retirement Planning'!$I$59+'Retirement Planning'!$K$58,IF((SUM(Z288:Z299)-'Retirement Planning'!$I$54-'Retirement Planning'!$I$61)&gt;'Retirement Planning'!$J$57,(SUM(Z288:Z299)-'Retirement Planning'!$I$54-'Retirement Planning'!$I$61-'Retirement Planning'!$J$57)*'Retirement Planning'!$I$58+'Retirement Planning'!$K$57,IF((SUM(Z288:Z299)-'Retirement Planning'!$I$54-'Retirement Planning'!$I$61)&gt;'Retirement Planning'!$J$56,(SUM(Z288:Z299)-'Retirement Planning'!$I$54-'Retirement Planning'!$I$61-'Retirement Planning'!$J$56)*'Retirement Planning'!$I$57+'Retirement Planning'!$K$56,(SUM(Z288:Z299)-'Retirement Planning'!$I$54-'Retirement Planning'!$I$61)*'Retirement Planning'!$I$56))))))/12,AA299)</f>
        <v>3130.1621921675833</v>
      </c>
      <c r="AB300" s="104">
        <f t="shared" ca="1" si="106"/>
        <v>0.25086107931694401</v>
      </c>
      <c r="AC300" s="7">
        <f>IF(B300&lt;65,'Retirement Planning'!$J$28,0)</f>
        <v>0</v>
      </c>
      <c r="AD300" s="7">
        <f>IF(B300&lt;65,'Retirement Planning'!$J$29/12,0)</f>
        <v>0</v>
      </c>
      <c r="AE300" s="22">
        <f>'Retirement Planning'!$J$31/12</f>
        <v>58.333333333333336</v>
      </c>
      <c r="AF300" s="22">
        <f>'Retirement Planning'!$J$32/12</f>
        <v>66.666666666666671</v>
      </c>
      <c r="AG300" s="7">
        <f>IF($B300&gt;64.9,'Retirement Planning'!$J$39/12,0)</f>
        <v>183.33333333333334</v>
      </c>
      <c r="AH300" s="7">
        <f>IF($B300&gt;64.9,'Retirement Planning'!$J$40/12,0)</f>
        <v>258.33333333333331</v>
      </c>
      <c r="AI300" s="7">
        <f>IF($B300&gt;64.9,'Retirement Planning'!$J$41/12,0)</f>
        <v>558.33333333333337</v>
      </c>
      <c r="AJ300" s="7">
        <f t="shared" ca="1" si="116"/>
        <v>316.66666666666663</v>
      </c>
      <c r="AK300" s="3" t="str">
        <f t="shared" ca="1" si="117"/>
        <v>N/A</v>
      </c>
      <c r="AL300" s="6" t="str">
        <f t="shared" ca="1" si="118"/>
        <v>N/A</v>
      </c>
      <c r="AM300" s="7">
        <f t="shared" ca="1" si="119"/>
        <v>1.1368683772161603E-12</v>
      </c>
      <c r="AN300" s="7">
        <f t="shared" ca="1" si="120"/>
        <v>16109.126462426435</v>
      </c>
      <c r="AO300" s="7">
        <f t="shared" si="121"/>
        <v>1125</v>
      </c>
    </row>
    <row r="301" spans="1:41" x14ac:dyDescent="0.2">
      <c r="A301">
        <f t="shared" si="122"/>
        <v>50</v>
      </c>
      <c r="B301" s="5">
        <f t="shared" si="123"/>
        <v>80.5</v>
      </c>
      <c r="C301" s="56">
        <f t="shared" si="124"/>
        <v>55274</v>
      </c>
      <c r="D301" s="57">
        <f ca="1">IF(AND(B300&lt;59.5,OR(B301&gt;59.5,B301=59.5)),(D300-E300+J300-K300)*(1+'Retirement Planning'!$J$23/12),(D300-E300)*(1+'Retirement Planning'!$J$23/12))</f>
        <v>646601.46734808665</v>
      </c>
      <c r="E301" s="58">
        <f t="shared" ca="1" si="111"/>
        <v>1569.8613750449513</v>
      </c>
      <c r="F301" s="57">
        <f ca="1">IF(AND(OR(B301&gt;59.5,B301=59.5),B300&lt;59.5),(F300-G300+L300-M300+N300-O300)*(1+'Retirement Planning'!$J$23/12),(F300-G300)*(1+'Retirement Planning'!$J$23/12))</f>
        <v>1399278.1625670246</v>
      </c>
      <c r="G301" s="58">
        <f ca="1">IF(AND($B$10&lt;55,B301&lt;59.5),'Retirement Planning'!$J$25,IF(OR(B301&gt;59.5,B301=59.5),MAX(0,MIN(F301,IF(D301&lt;2500,((Y301+AJ301+AA301))-X301,((Y301+AJ301+AA301)*'Retirement Planning'!$J$44)-X301))),0))</f>
        <v>11180.042434565412</v>
      </c>
      <c r="H301" s="255">
        <f ca="1">IF(MONTH(C301)=1,IF(B301&gt;69.5,F301/(INDEX('Retirement Planning'!D$1:D$264,(160+INT(B301))))/12,0),IF(F301=0,0,H300))</f>
        <v>10837.768214760361</v>
      </c>
      <c r="I301" s="262">
        <f t="shared" ca="1" si="112"/>
        <v>0</v>
      </c>
      <c r="J301" s="254">
        <f ca="1">IF(AND(B300&lt;59.5,OR(B301=59.5,B301&gt;59.5)),0,(J300-K300)*(1+'Retirement Planning'!$J$23/12))</f>
        <v>0</v>
      </c>
      <c r="K301" s="58">
        <f t="shared" ca="1" si="113"/>
        <v>0</v>
      </c>
      <c r="L301" s="57">
        <f>IF(AND(OR(B301&gt;59.5,B301=59.5),B300&lt;59.5),0,(L300-M300)*(1+'Retirement Planning'!$J$23/12))</f>
        <v>0</v>
      </c>
      <c r="M301" s="59">
        <f>IF(AND($B$10&lt;55,B301&lt;59.5),0,IF(B301&lt;59.5,MAX(0,MIN((($Y301+$AJ301+AA301)*'Retirement Planning'!$J$44)-$G301-$X301,L301)),0))</f>
        <v>0</v>
      </c>
      <c r="N301" s="57">
        <f ca="1">(N300-O300)*(1+'Retirement Planning'!$J$23/12)</f>
        <v>0</v>
      </c>
      <c r="O301" s="59">
        <f ca="1">IF(B301&gt;59.5,MAX(0,MIN((AA301+$Y301+$AJ301)*(IF(D301&lt;(MIN(E289:E300)+1),1,'Retirement Planning'!$J$44))-M301-$G301-$X301-(IF(D301&lt;(MIN(E289:E300)+1),D301,0)),N301)),0)</f>
        <v>0</v>
      </c>
      <c r="P301" s="57">
        <f t="shared" si="125"/>
        <v>0</v>
      </c>
      <c r="Q301" s="58">
        <f t="shared" si="126"/>
        <v>0</v>
      </c>
      <c r="R301" s="57">
        <f ca="1">(R300-S300-T300)*(1+'Retirement Planning'!$J$23/12)</f>
        <v>801665.783719723</v>
      </c>
      <c r="S301" s="58">
        <f t="shared" ca="1" si="127"/>
        <v>808.33333333333337</v>
      </c>
      <c r="T301" s="273">
        <f t="shared" ca="1" si="114"/>
        <v>1.3642420526593924E-12</v>
      </c>
      <c r="U301" s="57">
        <f ca="1">(U300-V300)*(1+'Retirement Planning'!$J$23/12)</f>
        <v>531415.87955709291</v>
      </c>
      <c r="V301" s="24">
        <f ca="1">IF(AND($B$10&lt;55,B301&lt;59.5),MIN(U301,MAX(0,(Y301+AA301+AJ301-G301)*'Retirement Planning'!$J$45)),IF(B301&lt;59.5,(MIN(U301,MAX(0,((Y301+AA301+AJ301)-G301-M301)*'Retirement Planning'!$J$45))),MIN(U301,MAX(0,(Y301+AA301+AJ301-G301-M301-K301-X301)*'Retirement Planning'!$J$45))))</f>
        <v>1337.2893194827368</v>
      </c>
      <c r="W301" s="7">
        <f t="shared" ca="1" si="115"/>
        <v>3378961.2931919275</v>
      </c>
      <c r="X301" s="7">
        <f>(IF(B301&gt;'Retirement Planning'!$J$34,IF('Retirement Planning'!$J$34=70,'Retirement Planning'!$J$37/12,IF('Retirement Planning'!$J$34=67,'Retirement Planning'!$J$36/12,'Retirement Planning'!$J$35/12)),0))*'Retirement Planning'!$J$38</f>
        <v>1213.6000000000001</v>
      </c>
      <c r="Y301" s="7">
        <f ca="1">'Retirement Planning'!$F$35*((1+'Retirement Planning'!$J$24)^(YEAR('Projected Retirement Drawdown'!C301)-YEAR(TODAY())))</f>
        <v>11853.964270258852</v>
      </c>
      <c r="Z301" s="7">
        <f ca="1">G301+M301+O301+0.85*X301+V301*'Retirement Planning'!$J$46+T301</f>
        <v>12947.111560280919</v>
      </c>
      <c r="AA301" s="7">
        <f ca="1">IF(MONTH(C301)=1,(((MIN(MAX(0,((SUM(Z289:Z300)-'Retirement Planning'!$I$53-'Retirement Planning'!$I$54)-'Retirement Planning'!$J$51)*'Retirement Planning'!$I$52))))+(MIN(MAX(0,((SUM(Z289:Z300)-'Retirement Planning'!$I$53-'Retirement Planning'!$I$54)-'Retirement Planning'!$J$50)*'Retirement Planning'!$I$51),('Retirement Planning'!$J$51-'Retirement Planning'!$J$50)*'Retirement Planning'!$I$51))+(MIN(MAX(0,((SUM(Z289:Z300)-'Retirement Planning'!$I$53-'Retirement Planning'!$I$54)-'Retirement Planning'!$J$49)*'Retirement Planning'!$I$50),('Retirement Planning'!$J$50-'Retirement Planning'!$J$49)*'Retirement Planning'!$I$50)+MIN(MAX(0,((SUM(Z289:Z300)-'Retirement Planning'!$I$53-'Retirement Planning'!$I$54)-'Retirement Planning'!$J$48)*'Retirement Planning'!$I$49),('Retirement Planning'!$J$49-'Retirement Planning'!$J$48)*'Retirement Planning'!$I$49)+MIN(((SUM(Z289:Z300)-'Retirement Planning'!$I$53-'Retirement Planning'!$I$54))*'Retirement Planning'!$I$48,('Retirement Planning'!$J$48)*'Retirement Planning'!$I$48))+(IF((SUM(Z289:Z300)-'Retirement Planning'!$I$54-'Retirement Planning'!$I$61)&gt;'Retirement Planning'!$J$59,(SUM(Z289:Z300)-'Retirement Planning'!$I$54-'Retirement Planning'!$I$61-'Retirement Planning'!$J$59)*'Retirement Planning'!$I$60+'Retirement Planning'!$K$59,IF((SUM(Z289:Z300)-'Retirement Planning'!$I$54-'Retirement Planning'!$I$61)&gt;'Retirement Planning'!$J$58,(SUM(Z289:Z300)-'Retirement Planning'!$I$54-'Retirement Planning'!$I$61-'Retirement Planning'!$J$58)*'Retirement Planning'!$I$59+'Retirement Planning'!$K$58,IF((SUM(Z289:Z300)-'Retirement Planning'!$I$54-'Retirement Planning'!$I$61)&gt;'Retirement Planning'!$J$57,(SUM(Z289:Z300)-'Retirement Planning'!$I$54-'Retirement Planning'!$I$61-'Retirement Planning'!$J$57)*'Retirement Planning'!$I$58+'Retirement Planning'!$K$57,IF((SUM(Z289:Z300)-'Retirement Planning'!$I$54-'Retirement Planning'!$I$61)&gt;'Retirement Planning'!$J$56,(SUM(Z289:Z300)-'Retirement Planning'!$I$54-'Retirement Planning'!$I$61-'Retirement Planning'!$J$56)*'Retirement Planning'!$I$57+'Retirement Planning'!$K$56,(SUM(Z289:Z300)-'Retirement Planning'!$I$54-'Retirement Planning'!$I$61)*'Retirement Planning'!$I$56))))))/12,AA300)</f>
        <v>3130.1621921675833</v>
      </c>
      <c r="AB301" s="104">
        <f t="shared" ca="1" si="106"/>
        <v>0.25086107931694401</v>
      </c>
      <c r="AC301" s="7">
        <f>IF(B301&lt;65,'Retirement Planning'!$J$28,0)</f>
        <v>0</v>
      </c>
      <c r="AD301" s="7">
        <f>IF(B301&lt;65,'Retirement Planning'!$J$29/12,0)</f>
        <v>0</v>
      </c>
      <c r="AE301" s="22">
        <f>'Retirement Planning'!$J$31/12</f>
        <v>58.333333333333336</v>
      </c>
      <c r="AF301" s="22">
        <f>'Retirement Planning'!$J$32/12</f>
        <v>66.666666666666671</v>
      </c>
      <c r="AG301" s="7">
        <f>IF($B301&gt;64.9,'Retirement Planning'!$J$39/12,0)</f>
        <v>183.33333333333334</v>
      </c>
      <c r="AH301" s="7">
        <f>IF($B301&gt;64.9,'Retirement Planning'!$J$40/12,0)</f>
        <v>258.33333333333331</v>
      </c>
      <c r="AI301" s="7">
        <f>IF($B301&gt;64.9,'Retirement Planning'!$J$41/12,0)</f>
        <v>558.33333333333337</v>
      </c>
      <c r="AJ301" s="7">
        <f t="shared" ca="1" si="116"/>
        <v>316.66666666666663</v>
      </c>
      <c r="AK301" s="3" t="str">
        <f t="shared" ca="1" si="117"/>
        <v>N/A</v>
      </c>
      <c r="AL301" s="6" t="str">
        <f t="shared" ca="1" si="118"/>
        <v>N/A</v>
      </c>
      <c r="AM301" s="7">
        <f t="shared" ca="1" si="119"/>
        <v>1.1368683772161603E-12</v>
      </c>
      <c r="AN301" s="7">
        <f t="shared" ca="1" si="120"/>
        <v>16109.126462426435</v>
      </c>
      <c r="AO301" s="7">
        <f t="shared" si="121"/>
        <v>1125</v>
      </c>
    </row>
    <row r="302" spans="1:41" x14ac:dyDescent="0.2">
      <c r="A302">
        <f t="shared" si="122"/>
        <v>50</v>
      </c>
      <c r="B302" s="5">
        <f t="shared" si="123"/>
        <v>80.599999999999994</v>
      </c>
      <c r="C302" s="56">
        <f t="shared" si="124"/>
        <v>55305</v>
      </c>
      <c r="D302" s="57">
        <f ca="1">IF(AND(B301&lt;59.5,OR(B302&gt;59.5,B302=59.5)),(D301-E301+J301-K301)*(1+'Retirement Planning'!$J$23/12),(D301-E301)*(1+'Retirement Planning'!$J$23/12))</f>
        <v>649600.57984868414</v>
      </c>
      <c r="E302" s="58">
        <f t="shared" ca="1" si="111"/>
        <v>1569.8613750449513</v>
      </c>
      <c r="F302" s="57">
        <f ca="1">IF(AND(OR(B302&gt;59.5,B302=59.5),B301&lt;59.5),(F301-G301+L301-M301+N301-O301)*(1+'Retirement Planning'!$J$23/12),(F301-G301)*(1+'Retirement Planning'!$J$23/12))</f>
        <v>1397930.4818167307</v>
      </c>
      <c r="G302" s="58">
        <f ca="1">IF(AND($B$10&lt;55,B302&lt;59.5),'Retirement Planning'!$J$25,IF(OR(B302&gt;59.5,B302=59.5),MAX(0,MIN(F302,IF(D302&lt;2500,((Y302+AJ302+AA302))-X302,((Y302+AJ302+AA302)*'Retirement Planning'!$J$44)-X302))),0))</f>
        <v>11180.042434565412</v>
      </c>
      <c r="H302" s="255">
        <f ca="1">IF(MONTH(C302)=1,IF(B302&gt;69.5,F302/(INDEX('Retirement Planning'!D$1:D$264,(160+INT(B302))))/12,0),IF(F302=0,0,H301))</f>
        <v>10837.768214760361</v>
      </c>
      <c r="I302" s="262">
        <f t="shared" ca="1" si="112"/>
        <v>0</v>
      </c>
      <c r="J302" s="254">
        <f ca="1">IF(AND(B301&lt;59.5,OR(B302=59.5,B302&gt;59.5)),0,(J301-K301)*(1+'Retirement Planning'!$J$23/12))</f>
        <v>0</v>
      </c>
      <c r="K302" s="58">
        <f t="shared" ca="1" si="113"/>
        <v>0</v>
      </c>
      <c r="L302" s="57">
        <f>IF(AND(OR(B302&gt;59.5,B302=59.5),B301&lt;59.5),0,(L301-M301)*(1+'Retirement Planning'!$J$23/12))</f>
        <v>0</v>
      </c>
      <c r="M302" s="59">
        <f>IF(AND($B$10&lt;55,B302&lt;59.5),0,IF(B302&lt;59.5,MAX(0,MIN((($Y302+$AJ302+AA302)*'Retirement Planning'!$J$44)-$G302-$X302,L302)),0))</f>
        <v>0</v>
      </c>
      <c r="N302" s="57">
        <f ca="1">(N301-O301)*(1+'Retirement Planning'!$J$23/12)</f>
        <v>0</v>
      </c>
      <c r="O302" s="59">
        <f ca="1">IF(B302&gt;59.5,MAX(0,MIN((AA302+$Y302+$AJ302)*(IF(D302&lt;(MIN(E290:E301)+1),1,'Retirement Planning'!$J$44))-M302-$G302-$X302-(IF(D302&lt;(MIN(E290:E301)+1),D302,0)),N302)),0)</f>
        <v>0</v>
      </c>
      <c r="P302" s="57">
        <f t="shared" si="125"/>
        <v>0</v>
      </c>
      <c r="Q302" s="58">
        <f t="shared" si="126"/>
        <v>0</v>
      </c>
      <c r="R302" s="57">
        <f ca="1">(R301-S301-T301)*(1+'Retirement Planning'!$J$23/12)</f>
        <v>806530.19065995992</v>
      </c>
      <c r="S302" s="58">
        <f t="shared" ca="1" si="127"/>
        <v>808.33333333333337</v>
      </c>
      <c r="T302" s="273">
        <f t="shared" ca="1" si="114"/>
        <v>1.3642420526593924E-12</v>
      </c>
      <c r="U302" s="57">
        <f ca="1">(U301-V301)*(1+'Retirement Planning'!$J$23/12)</f>
        <v>533833.31358512654</v>
      </c>
      <c r="V302" s="24">
        <f ca="1">IF(AND($B$10&lt;55,B302&lt;59.5),MIN(U302,MAX(0,(Y302+AA302+AJ302-G302)*'Retirement Planning'!$J$45)),IF(B302&lt;59.5,(MIN(U302,MAX(0,((Y302+AA302+AJ302)-G302-M302)*'Retirement Planning'!$J$45))),MIN(U302,MAX(0,(Y302+AA302+AJ302-G302-M302-K302-X302)*'Retirement Planning'!$J$45))))</f>
        <v>1337.2893194827368</v>
      </c>
      <c r="W302" s="7">
        <f t="shared" ca="1" si="115"/>
        <v>3387894.5659105014</v>
      </c>
      <c r="X302" s="7">
        <f>(IF(B302&gt;'Retirement Planning'!$J$34,IF('Retirement Planning'!$J$34=70,'Retirement Planning'!$J$37/12,IF('Retirement Planning'!$J$34=67,'Retirement Planning'!$J$36/12,'Retirement Planning'!$J$35/12)),0))*'Retirement Planning'!$J$38</f>
        <v>1213.6000000000001</v>
      </c>
      <c r="Y302" s="7">
        <f ca="1">'Retirement Planning'!$F$35*((1+'Retirement Planning'!$J$24)^(YEAR('Projected Retirement Drawdown'!C302)-YEAR(TODAY())))</f>
        <v>11853.964270258852</v>
      </c>
      <c r="Z302" s="7">
        <f ca="1">G302+M302+O302+0.85*X302+V302*'Retirement Planning'!$J$46+T302</f>
        <v>12947.111560280919</v>
      </c>
      <c r="AA302" s="7">
        <f ca="1">IF(MONTH(C302)=1,(((MIN(MAX(0,((SUM(Z290:Z301)-'Retirement Planning'!$I$53-'Retirement Planning'!$I$54)-'Retirement Planning'!$J$51)*'Retirement Planning'!$I$52))))+(MIN(MAX(0,((SUM(Z290:Z301)-'Retirement Planning'!$I$53-'Retirement Planning'!$I$54)-'Retirement Planning'!$J$50)*'Retirement Planning'!$I$51),('Retirement Planning'!$J$51-'Retirement Planning'!$J$50)*'Retirement Planning'!$I$51))+(MIN(MAX(0,((SUM(Z290:Z301)-'Retirement Planning'!$I$53-'Retirement Planning'!$I$54)-'Retirement Planning'!$J$49)*'Retirement Planning'!$I$50),('Retirement Planning'!$J$50-'Retirement Planning'!$J$49)*'Retirement Planning'!$I$50)+MIN(MAX(0,((SUM(Z290:Z301)-'Retirement Planning'!$I$53-'Retirement Planning'!$I$54)-'Retirement Planning'!$J$48)*'Retirement Planning'!$I$49),('Retirement Planning'!$J$49-'Retirement Planning'!$J$48)*'Retirement Planning'!$I$49)+MIN(((SUM(Z290:Z301)-'Retirement Planning'!$I$53-'Retirement Planning'!$I$54))*'Retirement Planning'!$I$48,('Retirement Planning'!$J$48)*'Retirement Planning'!$I$48))+(IF((SUM(Z290:Z301)-'Retirement Planning'!$I$54-'Retirement Planning'!$I$61)&gt;'Retirement Planning'!$J$59,(SUM(Z290:Z301)-'Retirement Planning'!$I$54-'Retirement Planning'!$I$61-'Retirement Planning'!$J$59)*'Retirement Planning'!$I$60+'Retirement Planning'!$K$59,IF((SUM(Z290:Z301)-'Retirement Planning'!$I$54-'Retirement Planning'!$I$61)&gt;'Retirement Planning'!$J$58,(SUM(Z290:Z301)-'Retirement Planning'!$I$54-'Retirement Planning'!$I$61-'Retirement Planning'!$J$58)*'Retirement Planning'!$I$59+'Retirement Planning'!$K$58,IF((SUM(Z290:Z301)-'Retirement Planning'!$I$54-'Retirement Planning'!$I$61)&gt;'Retirement Planning'!$J$57,(SUM(Z290:Z301)-'Retirement Planning'!$I$54-'Retirement Planning'!$I$61-'Retirement Planning'!$J$57)*'Retirement Planning'!$I$58+'Retirement Planning'!$K$57,IF((SUM(Z290:Z301)-'Retirement Planning'!$I$54-'Retirement Planning'!$I$61)&gt;'Retirement Planning'!$J$56,(SUM(Z290:Z301)-'Retirement Planning'!$I$54-'Retirement Planning'!$I$61-'Retirement Planning'!$J$56)*'Retirement Planning'!$I$57+'Retirement Planning'!$K$56,(SUM(Z290:Z301)-'Retirement Planning'!$I$54-'Retirement Planning'!$I$61)*'Retirement Planning'!$I$56))))))/12,AA301)</f>
        <v>3130.1621921675833</v>
      </c>
      <c r="AB302" s="104">
        <f t="shared" ref="AB302:AB365" ca="1" si="134">AB301</f>
        <v>0.25086107931694401</v>
      </c>
      <c r="AC302" s="7">
        <f>IF(B302&lt;65,'Retirement Planning'!$J$28,0)</f>
        <v>0</v>
      </c>
      <c r="AD302" s="7">
        <f>IF(B302&lt;65,'Retirement Planning'!$J$29/12,0)</f>
        <v>0</v>
      </c>
      <c r="AE302" s="22">
        <f>'Retirement Planning'!$J$31/12</f>
        <v>58.333333333333336</v>
      </c>
      <c r="AF302" s="22">
        <f>'Retirement Planning'!$J$32/12</f>
        <v>66.666666666666671</v>
      </c>
      <c r="AG302" s="7">
        <f>IF($B302&gt;64.9,'Retirement Planning'!$J$39/12,0)</f>
        <v>183.33333333333334</v>
      </c>
      <c r="AH302" s="7">
        <f>IF($B302&gt;64.9,'Retirement Planning'!$J$40/12,0)</f>
        <v>258.33333333333331</v>
      </c>
      <c r="AI302" s="7">
        <f>IF($B302&gt;64.9,'Retirement Planning'!$J$41/12,0)</f>
        <v>558.33333333333337</v>
      </c>
      <c r="AJ302" s="7">
        <f t="shared" ca="1" si="116"/>
        <v>316.66666666666663</v>
      </c>
      <c r="AK302" s="3" t="str">
        <f t="shared" ca="1" si="117"/>
        <v>N/A</v>
      </c>
      <c r="AL302" s="6" t="str">
        <f t="shared" ca="1" si="118"/>
        <v>N/A</v>
      </c>
      <c r="AM302" s="7">
        <f t="shared" ca="1" si="119"/>
        <v>1.1368683772161603E-12</v>
      </c>
      <c r="AN302" s="7">
        <f t="shared" ca="1" si="120"/>
        <v>16109.126462426435</v>
      </c>
      <c r="AO302" s="7">
        <f t="shared" si="121"/>
        <v>1125</v>
      </c>
    </row>
    <row r="303" spans="1:41" x14ac:dyDescent="0.2">
      <c r="A303">
        <f t="shared" si="122"/>
        <v>50</v>
      </c>
      <c r="B303" s="5">
        <f t="shared" si="123"/>
        <v>80.7</v>
      </c>
      <c r="C303" s="56">
        <f t="shared" si="124"/>
        <v>55335</v>
      </c>
      <c r="D303" s="57">
        <f ca="1">IF(AND(B302&lt;59.5,OR(B303&gt;59.5,B303=59.5)),(D302-E302+J302-K302)*(1+'Retirement Planning'!$J$23/12),(D302-E302)*(1+'Retirement Planning'!$J$23/12))</f>
        <v>652620.93606282747</v>
      </c>
      <c r="E303" s="58">
        <f t="shared" ca="1" si="111"/>
        <v>1569.8613750449513</v>
      </c>
      <c r="F303" s="57">
        <f ca="1">IF(AND(OR(B303&gt;59.5,B303=59.5),B302&lt;59.5),(F302-G302+L302-M302+N302-O302)*(1+'Retirement Planning'!$J$23/12),(F302-G302)*(1+'Retirement Planning'!$J$23/12))</f>
        <v>1396573.2549944555</v>
      </c>
      <c r="G303" s="58">
        <f ca="1">IF(AND($B$10&lt;55,B303&lt;59.5),'Retirement Planning'!$J$25,IF(OR(B303&gt;59.5,B303=59.5),MAX(0,MIN(F303,IF(D303&lt;2500,((Y303+AJ303+AA303))-X303,((Y303+AJ303+AA303)*'Retirement Planning'!$J$44)-X303))),0))</f>
        <v>11180.042434565412</v>
      </c>
      <c r="H303" s="255">
        <f ca="1">IF(MONTH(C303)=1,IF(B303&gt;69.5,F303/(INDEX('Retirement Planning'!D$1:D$264,(160+INT(B303))))/12,0),IF(F303=0,0,H302))</f>
        <v>10837.768214760361</v>
      </c>
      <c r="I303" s="262">
        <f t="shared" ca="1" si="112"/>
        <v>0</v>
      </c>
      <c r="J303" s="254">
        <f ca="1">IF(AND(B302&lt;59.5,OR(B303=59.5,B303&gt;59.5)),0,(J302-K302)*(1+'Retirement Planning'!$J$23/12))</f>
        <v>0</v>
      </c>
      <c r="K303" s="58">
        <f t="shared" ca="1" si="113"/>
        <v>0</v>
      </c>
      <c r="L303" s="57">
        <f>IF(AND(OR(B303&gt;59.5,B303=59.5),B302&lt;59.5),0,(L302-M302)*(1+'Retirement Planning'!$J$23/12))</f>
        <v>0</v>
      </c>
      <c r="M303" s="59">
        <f>IF(AND($B$10&lt;55,B303&lt;59.5),0,IF(B303&lt;59.5,MAX(0,MIN((($Y303+$AJ303+AA303)*'Retirement Planning'!$J$44)-$G303-$X303,L303)),0))</f>
        <v>0</v>
      </c>
      <c r="N303" s="57">
        <f ca="1">(N302-O302)*(1+'Retirement Planning'!$J$23/12)</f>
        <v>0</v>
      </c>
      <c r="O303" s="59">
        <f ca="1">IF(B303&gt;59.5,MAX(0,MIN((AA303+$Y303+$AJ303)*(IF(D303&lt;(MIN(E291:E302)+1),1,'Retirement Planning'!$J$44))-M303-$G303-$X303-(IF(D303&lt;(MIN(E291:E302)+1),D303,0)),N303)),0)</f>
        <v>0</v>
      </c>
      <c r="P303" s="57">
        <f t="shared" si="125"/>
        <v>0</v>
      </c>
      <c r="Q303" s="58">
        <f t="shared" si="126"/>
        <v>0</v>
      </c>
      <c r="R303" s="57">
        <f ca="1">(R302-S302-T302)*(1+'Retirement Planning'!$J$23/12)</f>
        <v>811429.05381602352</v>
      </c>
      <c r="S303" s="58">
        <f t="shared" ca="1" si="127"/>
        <v>808.33333333333337</v>
      </c>
      <c r="T303" s="273">
        <f t="shared" ca="1" si="114"/>
        <v>1.3642420526593924E-12</v>
      </c>
      <c r="U303" s="57">
        <f ca="1">(U302-V302)*(1+'Retirement Planning'!$J$23/12)</f>
        <v>536267.87110419211</v>
      </c>
      <c r="V303" s="24">
        <f ca="1">IF(AND($B$10&lt;55,B303&lt;59.5),MIN(U303,MAX(0,(Y303+AA303+AJ303-G303)*'Retirement Planning'!$J$45)),IF(B303&lt;59.5,(MIN(U303,MAX(0,((Y303+AA303+AJ303)-G303-M303)*'Retirement Planning'!$J$45))),MIN(U303,MAX(0,(Y303+AA303+AJ303-G303-M303-K303-X303)*'Retirement Planning'!$J$45))))</f>
        <v>1337.2893194827368</v>
      </c>
      <c r="W303" s="7">
        <f t="shared" ca="1" si="115"/>
        <v>3396891.1159774987</v>
      </c>
      <c r="X303" s="7">
        <f>(IF(B303&gt;'Retirement Planning'!$J$34,IF('Retirement Planning'!$J$34=70,'Retirement Planning'!$J$37/12,IF('Retirement Planning'!$J$34=67,'Retirement Planning'!$J$36/12,'Retirement Planning'!$J$35/12)),0))*'Retirement Planning'!$J$38</f>
        <v>1213.6000000000001</v>
      </c>
      <c r="Y303" s="7">
        <f ca="1">'Retirement Planning'!$F$35*((1+'Retirement Planning'!$J$24)^(YEAR('Projected Retirement Drawdown'!C303)-YEAR(TODAY())))</f>
        <v>11853.964270258852</v>
      </c>
      <c r="Z303" s="7">
        <f ca="1">G303+M303+O303+0.85*X303+V303*'Retirement Planning'!$J$46+T303</f>
        <v>12947.111560280919</v>
      </c>
      <c r="AA303" s="7">
        <f ca="1">IF(MONTH(C303)=1,(((MIN(MAX(0,((SUM(Z291:Z302)-'Retirement Planning'!$I$53-'Retirement Planning'!$I$54)-'Retirement Planning'!$J$51)*'Retirement Planning'!$I$52))))+(MIN(MAX(0,((SUM(Z291:Z302)-'Retirement Planning'!$I$53-'Retirement Planning'!$I$54)-'Retirement Planning'!$J$50)*'Retirement Planning'!$I$51),('Retirement Planning'!$J$51-'Retirement Planning'!$J$50)*'Retirement Planning'!$I$51))+(MIN(MAX(0,((SUM(Z291:Z302)-'Retirement Planning'!$I$53-'Retirement Planning'!$I$54)-'Retirement Planning'!$J$49)*'Retirement Planning'!$I$50),('Retirement Planning'!$J$50-'Retirement Planning'!$J$49)*'Retirement Planning'!$I$50)+MIN(MAX(0,((SUM(Z291:Z302)-'Retirement Planning'!$I$53-'Retirement Planning'!$I$54)-'Retirement Planning'!$J$48)*'Retirement Planning'!$I$49),('Retirement Planning'!$J$49-'Retirement Planning'!$J$48)*'Retirement Planning'!$I$49)+MIN(((SUM(Z291:Z302)-'Retirement Planning'!$I$53-'Retirement Planning'!$I$54))*'Retirement Planning'!$I$48,('Retirement Planning'!$J$48)*'Retirement Planning'!$I$48))+(IF((SUM(Z291:Z302)-'Retirement Planning'!$I$54-'Retirement Planning'!$I$61)&gt;'Retirement Planning'!$J$59,(SUM(Z291:Z302)-'Retirement Planning'!$I$54-'Retirement Planning'!$I$61-'Retirement Planning'!$J$59)*'Retirement Planning'!$I$60+'Retirement Planning'!$K$59,IF((SUM(Z291:Z302)-'Retirement Planning'!$I$54-'Retirement Planning'!$I$61)&gt;'Retirement Planning'!$J$58,(SUM(Z291:Z302)-'Retirement Planning'!$I$54-'Retirement Planning'!$I$61-'Retirement Planning'!$J$58)*'Retirement Planning'!$I$59+'Retirement Planning'!$K$58,IF((SUM(Z291:Z302)-'Retirement Planning'!$I$54-'Retirement Planning'!$I$61)&gt;'Retirement Planning'!$J$57,(SUM(Z291:Z302)-'Retirement Planning'!$I$54-'Retirement Planning'!$I$61-'Retirement Planning'!$J$57)*'Retirement Planning'!$I$58+'Retirement Planning'!$K$57,IF((SUM(Z291:Z302)-'Retirement Planning'!$I$54-'Retirement Planning'!$I$61)&gt;'Retirement Planning'!$J$56,(SUM(Z291:Z302)-'Retirement Planning'!$I$54-'Retirement Planning'!$I$61-'Retirement Planning'!$J$56)*'Retirement Planning'!$I$57+'Retirement Planning'!$K$56,(SUM(Z291:Z302)-'Retirement Planning'!$I$54-'Retirement Planning'!$I$61)*'Retirement Planning'!$I$56))))))/12,AA302)</f>
        <v>3130.1621921675833</v>
      </c>
      <c r="AB303" s="104">
        <f t="shared" ca="1" si="134"/>
        <v>0.25086107931694401</v>
      </c>
      <c r="AC303" s="7">
        <f>IF(B303&lt;65,'Retirement Planning'!$J$28,0)</f>
        <v>0</v>
      </c>
      <c r="AD303" s="7">
        <f>IF(B303&lt;65,'Retirement Planning'!$J$29/12,0)</f>
        <v>0</v>
      </c>
      <c r="AE303" s="22">
        <f>'Retirement Planning'!$J$31/12</f>
        <v>58.333333333333336</v>
      </c>
      <c r="AF303" s="22">
        <f>'Retirement Planning'!$J$32/12</f>
        <v>66.666666666666671</v>
      </c>
      <c r="AG303" s="7">
        <f>IF($B303&gt;64.9,'Retirement Planning'!$J$39/12,0)</f>
        <v>183.33333333333334</v>
      </c>
      <c r="AH303" s="7">
        <f>IF($B303&gt;64.9,'Retirement Planning'!$J$40/12,0)</f>
        <v>258.33333333333331</v>
      </c>
      <c r="AI303" s="7">
        <f>IF($B303&gt;64.9,'Retirement Planning'!$J$41/12,0)</f>
        <v>558.33333333333337</v>
      </c>
      <c r="AJ303" s="7">
        <f t="shared" ca="1" si="116"/>
        <v>316.66666666666663</v>
      </c>
      <c r="AK303" s="3" t="str">
        <f t="shared" ca="1" si="117"/>
        <v>N/A</v>
      </c>
      <c r="AL303" s="6" t="str">
        <f t="shared" ca="1" si="118"/>
        <v>N/A</v>
      </c>
      <c r="AM303" s="7">
        <f t="shared" ca="1" si="119"/>
        <v>1.1368683772161603E-12</v>
      </c>
      <c r="AN303" s="7">
        <f t="shared" ca="1" si="120"/>
        <v>16109.126462426435</v>
      </c>
      <c r="AO303" s="7">
        <f t="shared" si="121"/>
        <v>1125</v>
      </c>
    </row>
    <row r="304" spans="1:41" x14ac:dyDescent="0.2">
      <c r="A304">
        <f t="shared" si="122"/>
        <v>50</v>
      </c>
      <c r="B304" s="5">
        <f t="shared" si="123"/>
        <v>80.8</v>
      </c>
      <c r="C304" s="56">
        <f t="shared" si="124"/>
        <v>55366</v>
      </c>
      <c r="D304" s="57">
        <f ca="1">IF(AND(B303&lt;59.5,OR(B304&gt;59.5,B304=59.5)),(D303-E303+J303-K303)*(1+'Retirement Planning'!$J$23/12),(D303-E303)*(1+'Retirement Planning'!$J$23/12))</f>
        <v>655662.686466821</v>
      </c>
      <c r="E304" s="58">
        <f t="shared" ca="1" si="111"/>
        <v>1569.8613750449513</v>
      </c>
      <c r="F304" s="57">
        <f ca="1">IF(AND(OR(B304&gt;59.5,B304=59.5),B303&lt;59.5),(F303-G303+L303-M303+N303-O303)*(1+'Retirement Planning'!$J$23/12),(F303-G303)*(1+'Retirement Planning'!$J$23/12))</f>
        <v>1395206.4144821891</v>
      </c>
      <c r="G304" s="58">
        <f ca="1">IF(AND($B$10&lt;55,B304&lt;59.5),'Retirement Planning'!$J$25,IF(OR(B304&gt;59.5,B304=59.5),MAX(0,MIN(F304,IF(D304&lt;2500,((Y304+AJ304+AA304))-X304,((Y304+AJ304+AA304)*'Retirement Planning'!$J$44)-X304))),0))</f>
        <v>11180.042434565412</v>
      </c>
      <c r="H304" s="255">
        <f ca="1">IF(MONTH(C304)=1,IF(B304&gt;69.5,F304/(INDEX('Retirement Planning'!D$1:D$264,(160+INT(B304))))/12,0),IF(F304=0,0,H303))</f>
        <v>10837.768214760361</v>
      </c>
      <c r="I304" s="262">
        <f t="shared" ca="1" si="112"/>
        <v>0</v>
      </c>
      <c r="J304" s="254">
        <f ca="1">IF(AND(B303&lt;59.5,OR(B304=59.5,B304&gt;59.5)),0,(J303-K303)*(1+'Retirement Planning'!$J$23/12))</f>
        <v>0</v>
      </c>
      <c r="K304" s="58">
        <f t="shared" ca="1" si="113"/>
        <v>0</v>
      </c>
      <c r="L304" s="57">
        <f>IF(AND(OR(B304&gt;59.5,B304=59.5),B303&lt;59.5),0,(L303-M303)*(1+'Retirement Planning'!$J$23/12))</f>
        <v>0</v>
      </c>
      <c r="M304" s="59">
        <f>IF(AND($B$10&lt;55,B304&lt;59.5),0,IF(B304&lt;59.5,MAX(0,MIN((($Y304+$AJ304+AA304)*'Retirement Planning'!$J$44)-$G304-$X304,L304)),0))</f>
        <v>0</v>
      </c>
      <c r="N304" s="57">
        <f ca="1">(N303-O303)*(1+'Retirement Planning'!$J$23/12)</f>
        <v>0</v>
      </c>
      <c r="O304" s="59">
        <f ca="1">IF(B304&gt;59.5,MAX(0,MIN((AA304+$Y304+$AJ304)*(IF(D304&lt;(MIN(E292:E303)+1),1,'Retirement Planning'!$J$44))-M304-$G304-$X304-(IF(D304&lt;(MIN(E292:E303)+1),D304,0)),N304)),0)</f>
        <v>0</v>
      </c>
      <c r="P304" s="57">
        <f t="shared" si="125"/>
        <v>0</v>
      </c>
      <c r="Q304" s="58">
        <f t="shared" si="126"/>
        <v>0</v>
      </c>
      <c r="R304" s="57">
        <f ca="1">(R303-S303-T303)*(1+'Retirement Planning'!$J$23/12)</f>
        <v>816362.61725277582</v>
      </c>
      <c r="S304" s="58">
        <f t="shared" ca="1" si="127"/>
        <v>808.33333333333337</v>
      </c>
      <c r="T304" s="273">
        <f t="shared" ca="1" si="114"/>
        <v>1.3642420526593924E-12</v>
      </c>
      <c r="U304" s="57">
        <f ca="1">(U303-V303)*(1+'Retirement Planning'!$J$23/12)</f>
        <v>538719.67340568441</v>
      </c>
      <c r="V304" s="24">
        <f ca="1">IF(AND($B$10&lt;55,B304&lt;59.5),MIN(U304,MAX(0,(Y304+AA304+AJ304-G304)*'Retirement Planning'!$J$45)),IF(B304&lt;59.5,(MIN(U304,MAX(0,((Y304+AA304+AJ304)-G304-M304)*'Retirement Planning'!$J$45))),MIN(U304,MAX(0,(Y304+AA304+AJ304-G304-M304-K304-X304)*'Retirement Planning'!$J$45))))</f>
        <v>1337.2893194827368</v>
      </c>
      <c r="W304" s="7">
        <f t="shared" ca="1" si="115"/>
        <v>3405951.3916074703</v>
      </c>
      <c r="X304" s="7">
        <f>(IF(B304&gt;'Retirement Planning'!$J$34,IF('Retirement Planning'!$J$34=70,'Retirement Planning'!$J$37/12,IF('Retirement Planning'!$J$34=67,'Retirement Planning'!$J$36/12,'Retirement Planning'!$J$35/12)),0))*'Retirement Planning'!$J$38</f>
        <v>1213.6000000000001</v>
      </c>
      <c r="Y304" s="7">
        <f ca="1">'Retirement Planning'!$F$35*((1+'Retirement Planning'!$J$24)^(YEAR('Projected Retirement Drawdown'!C304)-YEAR(TODAY())))</f>
        <v>11853.964270258852</v>
      </c>
      <c r="Z304" s="7">
        <f ca="1">G304+M304+O304+0.85*X304+V304*'Retirement Planning'!$J$46+T304</f>
        <v>12947.111560280919</v>
      </c>
      <c r="AA304" s="7">
        <f ca="1">IF(MONTH(C304)=1,(((MIN(MAX(0,((SUM(Z292:Z303)-'Retirement Planning'!$I$53-'Retirement Planning'!$I$54)-'Retirement Planning'!$J$51)*'Retirement Planning'!$I$52))))+(MIN(MAX(0,((SUM(Z292:Z303)-'Retirement Planning'!$I$53-'Retirement Planning'!$I$54)-'Retirement Planning'!$J$50)*'Retirement Planning'!$I$51),('Retirement Planning'!$J$51-'Retirement Planning'!$J$50)*'Retirement Planning'!$I$51))+(MIN(MAX(0,((SUM(Z292:Z303)-'Retirement Planning'!$I$53-'Retirement Planning'!$I$54)-'Retirement Planning'!$J$49)*'Retirement Planning'!$I$50),('Retirement Planning'!$J$50-'Retirement Planning'!$J$49)*'Retirement Planning'!$I$50)+MIN(MAX(0,((SUM(Z292:Z303)-'Retirement Planning'!$I$53-'Retirement Planning'!$I$54)-'Retirement Planning'!$J$48)*'Retirement Planning'!$I$49),('Retirement Planning'!$J$49-'Retirement Planning'!$J$48)*'Retirement Planning'!$I$49)+MIN(((SUM(Z292:Z303)-'Retirement Planning'!$I$53-'Retirement Planning'!$I$54))*'Retirement Planning'!$I$48,('Retirement Planning'!$J$48)*'Retirement Planning'!$I$48))+(IF((SUM(Z292:Z303)-'Retirement Planning'!$I$54-'Retirement Planning'!$I$61)&gt;'Retirement Planning'!$J$59,(SUM(Z292:Z303)-'Retirement Planning'!$I$54-'Retirement Planning'!$I$61-'Retirement Planning'!$J$59)*'Retirement Planning'!$I$60+'Retirement Planning'!$K$59,IF((SUM(Z292:Z303)-'Retirement Planning'!$I$54-'Retirement Planning'!$I$61)&gt;'Retirement Planning'!$J$58,(SUM(Z292:Z303)-'Retirement Planning'!$I$54-'Retirement Planning'!$I$61-'Retirement Planning'!$J$58)*'Retirement Planning'!$I$59+'Retirement Planning'!$K$58,IF((SUM(Z292:Z303)-'Retirement Planning'!$I$54-'Retirement Planning'!$I$61)&gt;'Retirement Planning'!$J$57,(SUM(Z292:Z303)-'Retirement Planning'!$I$54-'Retirement Planning'!$I$61-'Retirement Planning'!$J$57)*'Retirement Planning'!$I$58+'Retirement Planning'!$K$57,IF((SUM(Z292:Z303)-'Retirement Planning'!$I$54-'Retirement Planning'!$I$61)&gt;'Retirement Planning'!$J$56,(SUM(Z292:Z303)-'Retirement Planning'!$I$54-'Retirement Planning'!$I$61-'Retirement Planning'!$J$56)*'Retirement Planning'!$I$57+'Retirement Planning'!$K$56,(SUM(Z292:Z303)-'Retirement Planning'!$I$54-'Retirement Planning'!$I$61)*'Retirement Planning'!$I$56))))))/12,AA303)</f>
        <v>3130.1621921675833</v>
      </c>
      <c r="AB304" s="104">
        <f t="shared" ca="1" si="134"/>
        <v>0.25086107931694401</v>
      </c>
      <c r="AC304" s="7">
        <f>IF(B304&lt;65,'Retirement Planning'!$J$28,0)</f>
        <v>0</v>
      </c>
      <c r="AD304" s="7">
        <f>IF(B304&lt;65,'Retirement Planning'!$J$29/12,0)</f>
        <v>0</v>
      </c>
      <c r="AE304" s="22">
        <f>'Retirement Planning'!$J$31/12</f>
        <v>58.333333333333336</v>
      </c>
      <c r="AF304" s="22">
        <f>'Retirement Planning'!$J$32/12</f>
        <v>66.666666666666671</v>
      </c>
      <c r="AG304" s="7">
        <f>IF($B304&gt;64.9,'Retirement Planning'!$J$39/12,0)</f>
        <v>183.33333333333334</v>
      </c>
      <c r="AH304" s="7">
        <f>IF($B304&gt;64.9,'Retirement Planning'!$J$40/12,0)</f>
        <v>258.33333333333331</v>
      </c>
      <c r="AI304" s="7">
        <f>IF($B304&gt;64.9,'Retirement Planning'!$J$41/12,0)</f>
        <v>558.33333333333337</v>
      </c>
      <c r="AJ304" s="7">
        <f t="shared" ca="1" si="116"/>
        <v>316.66666666666663</v>
      </c>
      <c r="AK304" s="3" t="str">
        <f t="shared" ca="1" si="117"/>
        <v>N/A</v>
      </c>
      <c r="AL304" s="6" t="str">
        <f t="shared" ca="1" si="118"/>
        <v>N/A</v>
      </c>
      <c r="AM304" s="7">
        <f t="shared" ca="1" si="119"/>
        <v>1.1368683772161603E-12</v>
      </c>
      <c r="AN304" s="7">
        <f t="shared" ca="1" si="120"/>
        <v>16109.126462426435</v>
      </c>
      <c r="AO304" s="7">
        <f t="shared" si="121"/>
        <v>1125</v>
      </c>
    </row>
    <row r="305" spans="1:41" x14ac:dyDescent="0.2">
      <c r="A305">
        <f t="shared" si="122"/>
        <v>50</v>
      </c>
      <c r="B305" s="5">
        <f t="shared" si="123"/>
        <v>80.900000000000006</v>
      </c>
      <c r="C305" s="56">
        <f t="shared" si="124"/>
        <v>55397</v>
      </c>
      <c r="D305" s="57">
        <f ca="1">IF(AND(B304&lt;59.5,OR(B305&gt;59.5,B305=59.5)),(D304-E304+J304-K304)*(1+'Retirement Planning'!$J$23/12),(D304-E304)*(1+'Retirement Planning'!$J$23/12))</f>
        <v>658725.98260284285</v>
      </c>
      <c r="E305" s="58">
        <f t="shared" ca="1" si="111"/>
        <v>1569.8613750449513</v>
      </c>
      <c r="F305" s="57">
        <f ca="1">IF(AND(OR(B305&gt;59.5,B305=59.5),B304&lt;59.5),(F304-G304+L304-M304+N304-O304)*(1+'Retirement Planning'!$J$23/12),(F304-G304)*(1+'Retirement Planning'!$J$23/12))</f>
        <v>1393829.8921829609</v>
      </c>
      <c r="G305" s="58">
        <f ca="1">IF(AND($B$10&lt;55,B305&lt;59.5),'Retirement Planning'!$J$25,IF(OR(B305&gt;59.5,B305=59.5),MAX(0,MIN(F305,IF(D305&lt;2500,((Y305+AJ305+AA305))-X305,((Y305+AJ305+AA305)*'Retirement Planning'!$J$44)-X305))),0))</f>
        <v>11180.042434565412</v>
      </c>
      <c r="H305" s="255">
        <f ca="1">IF(MONTH(C305)=1,IF(B305&gt;69.5,F305/(INDEX('Retirement Planning'!D$1:D$264,(160+INT(B305))))/12,0),IF(F305=0,0,H304))</f>
        <v>10837.768214760361</v>
      </c>
      <c r="I305" s="262">
        <f t="shared" ca="1" si="112"/>
        <v>0</v>
      </c>
      <c r="J305" s="254">
        <f ca="1">IF(AND(B304&lt;59.5,OR(B305=59.5,B305&gt;59.5)),0,(J304-K304)*(1+'Retirement Planning'!$J$23/12))</f>
        <v>0</v>
      </c>
      <c r="K305" s="58">
        <f t="shared" ca="1" si="113"/>
        <v>0</v>
      </c>
      <c r="L305" s="57">
        <f>IF(AND(OR(B305&gt;59.5,B305=59.5),B304&lt;59.5),0,(L304-M304)*(1+'Retirement Planning'!$J$23/12))</f>
        <v>0</v>
      </c>
      <c r="M305" s="59">
        <f>IF(AND($B$10&lt;55,B305&lt;59.5),0,IF(B305&lt;59.5,MAX(0,MIN((($Y305+$AJ305+AA305)*'Retirement Planning'!$J$44)-$G305-$X305,L305)),0))</f>
        <v>0</v>
      </c>
      <c r="N305" s="57">
        <f ca="1">(N304-O304)*(1+'Retirement Planning'!$J$23/12)</f>
        <v>0</v>
      </c>
      <c r="O305" s="59">
        <f ca="1">IF(B305&gt;59.5,MAX(0,MIN((AA305+$Y305+$AJ305)*(IF(D305&lt;(MIN(E293:E304)+1),1,'Retirement Planning'!$J$44))-M305-$G305-$X305-(IF(D305&lt;(MIN(E293:E304)+1),D305,0)),N305)),0)</f>
        <v>0</v>
      </c>
      <c r="P305" s="57">
        <f t="shared" si="125"/>
        <v>0</v>
      </c>
      <c r="Q305" s="58">
        <f t="shared" si="126"/>
        <v>0</v>
      </c>
      <c r="R305" s="57">
        <f ca="1">(R304-S304-T304)*(1+'Retirement Planning'!$J$23/12)</f>
        <v>821331.12676387187</v>
      </c>
      <c r="S305" s="58">
        <f t="shared" ca="1" si="127"/>
        <v>808.33333333333337</v>
      </c>
      <c r="T305" s="273">
        <f t="shared" ca="1" si="114"/>
        <v>1.3642420526593924E-12</v>
      </c>
      <c r="U305" s="57">
        <f ca="1">(U304-V304)*(1+'Retirement Planning'!$J$23/12)</f>
        <v>541188.84264014557</v>
      </c>
      <c r="V305" s="24">
        <f ca="1">IF(AND($B$10&lt;55,B305&lt;59.5),MIN(U305,MAX(0,(Y305+AA305+AJ305-G305)*'Retirement Planning'!$J$45)),IF(B305&lt;59.5,(MIN(U305,MAX(0,((Y305+AA305+AJ305)-G305-M305)*'Retirement Planning'!$J$45))),MIN(U305,MAX(0,(Y305+AA305+AJ305-G305-M305-K305-X305)*'Retirement Planning'!$J$45))))</f>
        <v>1337.2893194827368</v>
      </c>
      <c r="W305" s="7">
        <f t="shared" ca="1" si="115"/>
        <v>3415075.8441898213</v>
      </c>
      <c r="X305" s="7">
        <f>(IF(B305&gt;'Retirement Planning'!$J$34,IF('Retirement Planning'!$J$34=70,'Retirement Planning'!$J$37/12,IF('Retirement Planning'!$J$34=67,'Retirement Planning'!$J$36/12,'Retirement Planning'!$J$35/12)),0))*'Retirement Planning'!$J$38</f>
        <v>1213.6000000000001</v>
      </c>
      <c r="Y305" s="7">
        <f ca="1">'Retirement Planning'!$F$35*((1+'Retirement Planning'!$J$24)^(YEAR('Projected Retirement Drawdown'!C305)-YEAR(TODAY())))</f>
        <v>11853.964270258852</v>
      </c>
      <c r="Z305" s="7">
        <f ca="1">G305+M305+O305+0.85*X305+V305*'Retirement Planning'!$J$46+T305</f>
        <v>12947.111560280919</v>
      </c>
      <c r="AA305" s="7">
        <f ca="1">IF(MONTH(C305)=1,(((MIN(MAX(0,((SUM(Z293:Z304)-'Retirement Planning'!$I$53-'Retirement Planning'!$I$54)-'Retirement Planning'!$J$51)*'Retirement Planning'!$I$52))))+(MIN(MAX(0,((SUM(Z293:Z304)-'Retirement Planning'!$I$53-'Retirement Planning'!$I$54)-'Retirement Planning'!$J$50)*'Retirement Planning'!$I$51),('Retirement Planning'!$J$51-'Retirement Planning'!$J$50)*'Retirement Planning'!$I$51))+(MIN(MAX(0,((SUM(Z293:Z304)-'Retirement Planning'!$I$53-'Retirement Planning'!$I$54)-'Retirement Planning'!$J$49)*'Retirement Planning'!$I$50),('Retirement Planning'!$J$50-'Retirement Planning'!$J$49)*'Retirement Planning'!$I$50)+MIN(MAX(0,((SUM(Z293:Z304)-'Retirement Planning'!$I$53-'Retirement Planning'!$I$54)-'Retirement Planning'!$J$48)*'Retirement Planning'!$I$49),('Retirement Planning'!$J$49-'Retirement Planning'!$J$48)*'Retirement Planning'!$I$49)+MIN(((SUM(Z293:Z304)-'Retirement Planning'!$I$53-'Retirement Planning'!$I$54))*'Retirement Planning'!$I$48,('Retirement Planning'!$J$48)*'Retirement Planning'!$I$48))+(IF((SUM(Z293:Z304)-'Retirement Planning'!$I$54-'Retirement Planning'!$I$61)&gt;'Retirement Planning'!$J$59,(SUM(Z293:Z304)-'Retirement Planning'!$I$54-'Retirement Planning'!$I$61-'Retirement Planning'!$J$59)*'Retirement Planning'!$I$60+'Retirement Planning'!$K$59,IF((SUM(Z293:Z304)-'Retirement Planning'!$I$54-'Retirement Planning'!$I$61)&gt;'Retirement Planning'!$J$58,(SUM(Z293:Z304)-'Retirement Planning'!$I$54-'Retirement Planning'!$I$61-'Retirement Planning'!$J$58)*'Retirement Planning'!$I$59+'Retirement Planning'!$K$58,IF((SUM(Z293:Z304)-'Retirement Planning'!$I$54-'Retirement Planning'!$I$61)&gt;'Retirement Planning'!$J$57,(SUM(Z293:Z304)-'Retirement Planning'!$I$54-'Retirement Planning'!$I$61-'Retirement Planning'!$J$57)*'Retirement Planning'!$I$58+'Retirement Planning'!$K$57,IF((SUM(Z293:Z304)-'Retirement Planning'!$I$54-'Retirement Planning'!$I$61)&gt;'Retirement Planning'!$J$56,(SUM(Z293:Z304)-'Retirement Planning'!$I$54-'Retirement Planning'!$I$61-'Retirement Planning'!$J$56)*'Retirement Planning'!$I$57+'Retirement Planning'!$K$56,(SUM(Z293:Z304)-'Retirement Planning'!$I$54-'Retirement Planning'!$I$61)*'Retirement Planning'!$I$56))))))/12,AA304)</f>
        <v>3130.1621921675833</v>
      </c>
      <c r="AB305" s="104">
        <f t="shared" ca="1" si="134"/>
        <v>0.25086107931694401</v>
      </c>
      <c r="AC305" s="7">
        <f>IF(B305&lt;65,'Retirement Planning'!$J$28,0)</f>
        <v>0</v>
      </c>
      <c r="AD305" s="7">
        <f>IF(B305&lt;65,'Retirement Planning'!$J$29/12,0)</f>
        <v>0</v>
      </c>
      <c r="AE305" s="22">
        <f>'Retirement Planning'!$J$31/12</f>
        <v>58.333333333333336</v>
      </c>
      <c r="AF305" s="22">
        <f>'Retirement Planning'!$J$32/12</f>
        <v>66.666666666666671</v>
      </c>
      <c r="AG305" s="7">
        <f>IF($B305&gt;64.9,'Retirement Planning'!$J$39/12,0)</f>
        <v>183.33333333333334</v>
      </c>
      <c r="AH305" s="7">
        <f>IF($B305&gt;64.9,'Retirement Planning'!$J$40/12,0)</f>
        <v>258.33333333333331</v>
      </c>
      <c r="AI305" s="7">
        <f>IF($B305&gt;64.9,'Retirement Planning'!$J$41/12,0)</f>
        <v>558.33333333333337</v>
      </c>
      <c r="AJ305" s="7">
        <f t="shared" ca="1" si="116"/>
        <v>316.66666666666663</v>
      </c>
      <c r="AK305" s="3" t="str">
        <f t="shared" ca="1" si="117"/>
        <v>N/A</v>
      </c>
      <c r="AL305" s="6" t="str">
        <f t="shared" ca="1" si="118"/>
        <v>N/A</v>
      </c>
      <c r="AM305" s="7">
        <f t="shared" ca="1" si="119"/>
        <v>1.1368683772161603E-12</v>
      </c>
      <c r="AN305" s="7">
        <f t="shared" ca="1" si="120"/>
        <v>16109.126462426435</v>
      </c>
      <c r="AO305" s="7">
        <f t="shared" si="121"/>
        <v>1125</v>
      </c>
    </row>
    <row r="306" spans="1:41" x14ac:dyDescent="0.2">
      <c r="A306">
        <f t="shared" si="122"/>
        <v>50</v>
      </c>
      <c r="B306" s="5">
        <f t="shared" si="123"/>
        <v>81</v>
      </c>
      <c r="C306" s="56">
        <f t="shared" si="124"/>
        <v>55427</v>
      </c>
      <c r="D306" s="57">
        <f ca="1">IF(AND(B305&lt;59.5,OR(B306&gt;59.5,B306=59.5)),(D305-E305+J305-K305)*(1+'Retirement Planning'!$J$23/12),(D305-E305)*(1+'Retirement Planning'!$J$23/12))</f>
        <v>661810.97708649479</v>
      </c>
      <c r="E306" s="58">
        <f t="shared" ca="1" si="111"/>
        <v>1569.8613750449513</v>
      </c>
      <c r="F306" s="57">
        <f ca="1">IF(AND(OR(B306&gt;59.5,B306=59.5),B305&lt;59.5),(F305-G305+L305-M305+N305-O305)*(1+'Retirement Planning'!$J$23/12),(F305-G305)*(1+'Retirement Planning'!$J$23/12))</f>
        <v>1392443.6195174465</v>
      </c>
      <c r="G306" s="58">
        <f ca="1">IF(AND($B$10&lt;55,B306&lt;59.5),'Retirement Planning'!$J$25,IF(OR(B306&gt;59.5,B306=59.5),MAX(0,MIN(F306,IF(D306&lt;2500,((Y306+AJ306+AA306))-X306,((Y306+AJ306+AA306)*'Retirement Planning'!$J$44)-X306))),0))</f>
        <v>11180.042434565412</v>
      </c>
      <c r="H306" s="255">
        <f ca="1">IF(MONTH(C306)=1,IF(B306&gt;69.5,F306/(INDEX('Retirement Planning'!D$1:D$264,(160+INT(B306))))/12,0),IF(F306=0,0,H305))</f>
        <v>10837.768214760361</v>
      </c>
      <c r="I306" s="262">
        <f t="shared" ca="1" si="112"/>
        <v>0</v>
      </c>
      <c r="J306" s="254">
        <f ca="1">IF(AND(B305&lt;59.5,OR(B306=59.5,B306&gt;59.5)),0,(J305-K305)*(1+'Retirement Planning'!$J$23/12))</f>
        <v>0</v>
      </c>
      <c r="K306" s="58">
        <f t="shared" ca="1" si="113"/>
        <v>0</v>
      </c>
      <c r="L306" s="57">
        <f>IF(AND(OR(B306&gt;59.5,B306=59.5),B305&lt;59.5),0,(L305-M305)*(1+'Retirement Planning'!$J$23/12))</f>
        <v>0</v>
      </c>
      <c r="M306" s="59">
        <f>IF(AND($B$10&lt;55,B306&lt;59.5),0,IF(B306&lt;59.5,MAX(0,MIN((($Y306+$AJ306+AA306)*'Retirement Planning'!$J$44)-$G306-$X306,L306)),0))</f>
        <v>0</v>
      </c>
      <c r="N306" s="57">
        <f ca="1">(N305-O305)*(1+'Retirement Planning'!$J$23/12)</f>
        <v>0</v>
      </c>
      <c r="O306" s="59">
        <f ca="1">IF(B306&gt;59.5,MAX(0,MIN((AA306+$Y306+$AJ306)*(IF(D306&lt;(MIN(E294:E305)+1),1,'Retirement Planning'!$J$44))-M306-$G306-$X306-(IF(D306&lt;(MIN(E294:E305)+1),D306,0)),N306)),0)</f>
        <v>0</v>
      </c>
      <c r="P306" s="57">
        <f t="shared" si="125"/>
        <v>0</v>
      </c>
      <c r="Q306" s="58">
        <f t="shared" si="126"/>
        <v>0</v>
      </c>
      <c r="R306" s="57">
        <f ca="1">(R305-S305-T305)*(1+'Retirement Planning'!$J$23/12)</f>
        <v>826334.82988400478</v>
      </c>
      <c r="S306" s="58">
        <f t="shared" ca="1" si="127"/>
        <v>808.33333333333337</v>
      </c>
      <c r="T306" s="273">
        <f t="shared" ca="1" si="114"/>
        <v>1.3642420526593924E-12</v>
      </c>
      <c r="U306" s="57">
        <f ca="1">(U305-V305)*(1+'Retirement Planning'!$J$23/12)</f>
        <v>543675.50182335079</v>
      </c>
      <c r="V306" s="24">
        <f ca="1">IF(AND($B$10&lt;55,B306&lt;59.5),MIN(U306,MAX(0,(Y306+AA306+AJ306-G306)*'Retirement Planning'!$J$45)),IF(B306&lt;59.5,(MIN(U306,MAX(0,((Y306+AA306+AJ306)-G306-M306)*'Retirement Planning'!$J$45))),MIN(U306,MAX(0,(Y306+AA306+AJ306-G306-M306-K306-X306)*'Retirement Planning'!$J$45))))</f>
        <v>1337.2893194827368</v>
      </c>
      <c r="W306" s="7">
        <f t="shared" ca="1" si="115"/>
        <v>3424264.9283112967</v>
      </c>
      <c r="X306" s="7">
        <f>(IF(B306&gt;'Retirement Planning'!$J$34,IF('Retirement Planning'!$J$34=70,'Retirement Planning'!$J$37/12,IF('Retirement Planning'!$J$34=67,'Retirement Planning'!$J$36/12,'Retirement Planning'!$J$35/12)),0))*'Retirement Planning'!$J$38</f>
        <v>1213.6000000000001</v>
      </c>
      <c r="Y306" s="7">
        <f ca="1">'Retirement Planning'!$F$35*((1+'Retirement Planning'!$J$24)^(YEAR('Projected Retirement Drawdown'!C306)-YEAR(TODAY())))</f>
        <v>11853.964270258852</v>
      </c>
      <c r="Z306" s="7">
        <f ca="1">G306+M306+O306+0.85*X306+V306*'Retirement Planning'!$J$46+T306</f>
        <v>12947.111560280919</v>
      </c>
      <c r="AA306" s="7">
        <f ca="1">IF(MONTH(C306)=1,(((MIN(MAX(0,((SUM(Z294:Z305)-'Retirement Planning'!$I$53-'Retirement Planning'!$I$54)-'Retirement Planning'!$J$51)*'Retirement Planning'!$I$52))))+(MIN(MAX(0,((SUM(Z294:Z305)-'Retirement Planning'!$I$53-'Retirement Planning'!$I$54)-'Retirement Planning'!$J$50)*'Retirement Planning'!$I$51),('Retirement Planning'!$J$51-'Retirement Planning'!$J$50)*'Retirement Planning'!$I$51))+(MIN(MAX(0,((SUM(Z294:Z305)-'Retirement Planning'!$I$53-'Retirement Planning'!$I$54)-'Retirement Planning'!$J$49)*'Retirement Planning'!$I$50),('Retirement Planning'!$J$50-'Retirement Planning'!$J$49)*'Retirement Planning'!$I$50)+MIN(MAX(0,((SUM(Z294:Z305)-'Retirement Planning'!$I$53-'Retirement Planning'!$I$54)-'Retirement Planning'!$J$48)*'Retirement Planning'!$I$49),('Retirement Planning'!$J$49-'Retirement Planning'!$J$48)*'Retirement Planning'!$I$49)+MIN(((SUM(Z294:Z305)-'Retirement Planning'!$I$53-'Retirement Planning'!$I$54))*'Retirement Planning'!$I$48,('Retirement Planning'!$J$48)*'Retirement Planning'!$I$48))+(IF((SUM(Z294:Z305)-'Retirement Planning'!$I$54-'Retirement Planning'!$I$61)&gt;'Retirement Planning'!$J$59,(SUM(Z294:Z305)-'Retirement Planning'!$I$54-'Retirement Planning'!$I$61-'Retirement Planning'!$J$59)*'Retirement Planning'!$I$60+'Retirement Planning'!$K$59,IF((SUM(Z294:Z305)-'Retirement Planning'!$I$54-'Retirement Planning'!$I$61)&gt;'Retirement Planning'!$J$58,(SUM(Z294:Z305)-'Retirement Planning'!$I$54-'Retirement Planning'!$I$61-'Retirement Planning'!$J$58)*'Retirement Planning'!$I$59+'Retirement Planning'!$K$58,IF((SUM(Z294:Z305)-'Retirement Planning'!$I$54-'Retirement Planning'!$I$61)&gt;'Retirement Planning'!$J$57,(SUM(Z294:Z305)-'Retirement Planning'!$I$54-'Retirement Planning'!$I$61-'Retirement Planning'!$J$57)*'Retirement Planning'!$I$58+'Retirement Planning'!$K$57,IF((SUM(Z294:Z305)-'Retirement Planning'!$I$54-'Retirement Planning'!$I$61)&gt;'Retirement Planning'!$J$56,(SUM(Z294:Z305)-'Retirement Planning'!$I$54-'Retirement Planning'!$I$61-'Retirement Planning'!$J$56)*'Retirement Planning'!$I$57+'Retirement Planning'!$K$56,(SUM(Z294:Z305)-'Retirement Planning'!$I$54-'Retirement Planning'!$I$61)*'Retirement Planning'!$I$56))))))/12,AA305)</f>
        <v>3130.1621921675833</v>
      </c>
      <c r="AB306" s="104">
        <f t="shared" ca="1" si="134"/>
        <v>0.25086107931694401</v>
      </c>
      <c r="AC306" s="7">
        <f>IF(B306&lt;65,'Retirement Planning'!$J$28,0)</f>
        <v>0</v>
      </c>
      <c r="AD306" s="7">
        <f>IF(B306&lt;65,'Retirement Planning'!$J$29/12,0)</f>
        <v>0</v>
      </c>
      <c r="AE306" s="22">
        <f>'Retirement Planning'!$J$31/12</f>
        <v>58.333333333333336</v>
      </c>
      <c r="AF306" s="22">
        <f>'Retirement Planning'!$J$32/12</f>
        <v>66.666666666666671</v>
      </c>
      <c r="AG306" s="7">
        <f>IF($B306&gt;64.9,'Retirement Planning'!$J$39/12,0)</f>
        <v>183.33333333333334</v>
      </c>
      <c r="AH306" s="7">
        <f>IF($B306&gt;64.9,'Retirement Planning'!$J$40/12,0)</f>
        <v>258.33333333333331</v>
      </c>
      <c r="AI306" s="7">
        <f>IF($B306&gt;64.9,'Retirement Planning'!$J$41/12,0)</f>
        <v>558.33333333333337</v>
      </c>
      <c r="AJ306" s="7">
        <f t="shared" ca="1" si="116"/>
        <v>316.66666666666663</v>
      </c>
      <c r="AK306" s="3" t="str">
        <f t="shared" ca="1" si="117"/>
        <v>N/A</v>
      </c>
      <c r="AL306" s="6" t="str">
        <f t="shared" ca="1" si="118"/>
        <v>N/A</v>
      </c>
      <c r="AM306" s="7">
        <f t="shared" ca="1" si="119"/>
        <v>1.1368683772161603E-12</v>
      </c>
      <c r="AN306" s="7">
        <f t="shared" ca="1" si="120"/>
        <v>16109.126462426435</v>
      </c>
      <c r="AO306" s="7">
        <f t="shared" si="121"/>
        <v>1125</v>
      </c>
    </row>
    <row r="307" spans="1:41" x14ac:dyDescent="0.2">
      <c r="A307">
        <f t="shared" si="122"/>
        <v>50</v>
      </c>
      <c r="B307" s="5">
        <f t="shared" si="123"/>
        <v>81</v>
      </c>
      <c r="C307" s="56">
        <f t="shared" si="124"/>
        <v>55458</v>
      </c>
      <c r="D307" s="57">
        <f ca="1">IF(AND(B306&lt;59.5,OR(B307&gt;59.5,B307=59.5)),(D306-E306+J306-K306)*(1+'Retirement Planning'!$J$23/12),(D306-E306)*(1+'Retirement Planning'!$J$23/12))</f>
        <v>664917.82361440593</v>
      </c>
      <c r="E307" s="58">
        <f t="shared" ca="1" si="111"/>
        <v>1569.8613750449513</v>
      </c>
      <c r="F307" s="57">
        <f ca="1">IF(AND(OR(B307&gt;59.5,B307=59.5),B306&lt;59.5),(F306-G306+L306-M306+N306-O306)*(1+'Retirement Planning'!$J$23/12),(F306-G306)*(1+'Retirement Planning'!$J$23/12))</f>
        <v>1391047.5274205515</v>
      </c>
      <c r="G307" s="58">
        <f ca="1">IF(AND($B$10&lt;55,B307&lt;59.5),'Retirement Planning'!$J$25,IF(OR(B307&gt;59.5,B307=59.5),MAX(0,MIN(F307,IF(D307&lt;2500,((Y307+AJ307+AA307))-X307,((Y307+AJ307+AA307)*'Retirement Planning'!$J$44)-X307))),0))</f>
        <v>11180.042434565412</v>
      </c>
      <c r="H307" s="255">
        <f ca="1">IF(MONTH(C307)=1,IF(B307&gt;69.5,F307/(INDEX('Retirement Planning'!D$1:D$264,(160+INT(B307))))/12,0),IF(F307=0,0,H306))</f>
        <v>10837.768214760361</v>
      </c>
      <c r="I307" s="262">
        <f t="shared" ca="1" si="112"/>
        <v>0</v>
      </c>
      <c r="J307" s="254">
        <f ca="1">IF(AND(B306&lt;59.5,OR(B307=59.5,B307&gt;59.5)),0,(J306-K306)*(1+'Retirement Planning'!$J$23/12))</f>
        <v>0</v>
      </c>
      <c r="K307" s="58">
        <f t="shared" ca="1" si="113"/>
        <v>0</v>
      </c>
      <c r="L307" s="57">
        <f>IF(AND(OR(B307&gt;59.5,B307=59.5),B306&lt;59.5),0,(L306-M306)*(1+'Retirement Planning'!$J$23/12))</f>
        <v>0</v>
      </c>
      <c r="M307" s="59">
        <f>IF(AND($B$10&lt;55,B307&lt;59.5),0,IF(B307&lt;59.5,MAX(0,MIN((($Y307+$AJ307+AA307)*'Retirement Planning'!$J$44)-$G307-$X307,L307)),0))</f>
        <v>0</v>
      </c>
      <c r="N307" s="57">
        <f ca="1">(N306-O306)*(1+'Retirement Planning'!$J$23/12)</f>
        <v>0</v>
      </c>
      <c r="O307" s="59">
        <f ca="1">IF(B307&gt;59.5,MAX(0,MIN((AA307+$Y307+$AJ307)*(IF(D307&lt;(MIN(E295:E306)+1),1,'Retirement Planning'!$J$44))-M307-$G307-$X307-(IF(D307&lt;(MIN(E295:E306)+1),D307,0)),N307)),0)</f>
        <v>0</v>
      </c>
      <c r="P307" s="57">
        <f t="shared" si="125"/>
        <v>0</v>
      </c>
      <c r="Q307" s="58">
        <f t="shared" si="126"/>
        <v>0</v>
      </c>
      <c r="R307" s="57">
        <f ca="1">(R306-S306-T306)*(1+'Retirement Planning'!$J$23/12)</f>
        <v>831373.97590123862</v>
      </c>
      <c r="S307" s="58">
        <f t="shared" ca="1" si="127"/>
        <v>808.33333333333337</v>
      </c>
      <c r="T307" s="273">
        <f t="shared" ca="1" si="114"/>
        <v>1.3642420526593924E-12</v>
      </c>
      <c r="U307" s="57">
        <f ca="1">(U306-V306)*(1+'Retirement Planning'!$J$23/12)</f>
        <v>546179.77484243712</v>
      </c>
      <c r="V307" s="24">
        <f ca="1">IF(AND($B$10&lt;55,B307&lt;59.5),MIN(U307,MAX(0,(Y307+AA307+AJ307-G307)*'Retirement Planning'!$J$45)),IF(B307&lt;59.5,(MIN(U307,MAX(0,((Y307+AA307+AJ307)-G307-M307)*'Retirement Planning'!$J$45))),MIN(U307,MAX(0,(Y307+AA307+AJ307-G307-M307-K307-X307)*'Retirement Planning'!$J$45))))</f>
        <v>1337.2893194827368</v>
      </c>
      <c r="W307" s="7">
        <f t="shared" ca="1" si="115"/>
        <v>3433519.101778633</v>
      </c>
      <c r="X307" s="7">
        <f>(IF(B307&gt;'Retirement Planning'!$J$34,IF('Retirement Planning'!$J$34=70,'Retirement Planning'!$J$37/12,IF('Retirement Planning'!$J$34=67,'Retirement Planning'!$J$36/12,'Retirement Planning'!$J$35/12)),0))*'Retirement Planning'!$J$38</f>
        <v>1213.6000000000001</v>
      </c>
      <c r="Y307" s="7">
        <f ca="1">'Retirement Planning'!$F$35*((1+'Retirement Planning'!$J$24)^(YEAR('Projected Retirement Drawdown'!C307)-YEAR(TODAY())))</f>
        <v>11853.964270258852</v>
      </c>
      <c r="Z307" s="7">
        <f ca="1">G307+M307+O307+0.85*X307+V307*'Retirement Planning'!$J$46+T307</f>
        <v>12947.111560280919</v>
      </c>
      <c r="AA307" s="7">
        <f ca="1">IF(MONTH(C307)=1,(((MIN(MAX(0,((SUM(Z295:Z306)-'Retirement Planning'!$I$53-'Retirement Planning'!$I$54)-'Retirement Planning'!$J$51)*'Retirement Planning'!$I$52))))+(MIN(MAX(0,((SUM(Z295:Z306)-'Retirement Planning'!$I$53-'Retirement Planning'!$I$54)-'Retirement Planning'!$J$50)*'Retirement Planning'!$I$51),('Retirement Planning'!$J$51-'Retirement Planning'!$J$50)*'Retirement Planning'!$I$51))+(MIN(MAX(0,((SUM(Z295:Z306)-'Retirement Planning'!$I$53-'Retirement Planning'!$I$54)-'Retirement Planning'!$J$49)*'Retirement Planning'!$I$50),('Retirement Planning'!$J$50-'Retirement Planning'!$J$49)*'Retirement Planning'!$I$50)+MIN(MAX(0,((SUM(Z295:Z306)-'Retirement Planning'!$I$53-'Retirement Planning'!$I$54)-'Retirement Planning'!$J$48)*'Retirement Planning'!$I$49),('Retirement Planning'!$J$49-'Retirement Planning'!$J$48)*'Retirement Planning'!$I$49)+MIN(((SUM(Z295:Z306)-'Retirement Planning'!$I$53-'Retirement Planning'!$I$54))*'Retirement Planning'!$I$48,('Retirement Planning'!$J$48)*'Retirement Planning'!$I$48))+(IF((SUM(Z295:Z306)-'Retirement Planning'!$I$54-'Retirement Planning'!$I$61)&gt;'Retirement Planning'!$J$59,(SUM(Z295:Z306)-'Retirement Planning'!$I$54-'Retirement Planning'!$I$61-'Retirement Planning'!$J$59)*'Retirement Planning'!$I$60+'Retirement Planning'!$K$59,IF((SUM(Z295:Z306)-'Retirement Planning'!$I$54-'Retirement Planning'!$I$61)&gt;'Retirement Planning'!$J$58,(SUM(Z295:Z306)-'Retirement Planning'!$I$54-'Retirement Planning'!$I$61-'Retirement Planning'!$J$58)*'Retirement Planning'!$I$59+'Retirement Planning'!$K$58,IF((SUM(Z295:Z306)-'Retirement Planning'!$I$54-'Retirement Planning'!$I$61)&gt;'Retirement Planning'!$J$57,(SUM(Z295:Z306)-'Retirement Planning'!$I$54-'Retirement Planning'!$I$61-'Retirement Planning'!$J$57)*'Retirement Planning'!$I$58+'Retirement Planning'!$K$57,IF((SUM(Z295:Z306)-'Retirement Planning'!$I$54-'Retirement Planning'!$I$61)&gt;'Retirement Planning'!$J$56,(SUM(Z295:Z306)-'Retirement Planning'!$I$54-'Retirement Planning'!$I$61-'Retirement Planning'!$J$56)*'Retirement Planning'!$I$57+'Retirement Planning'!$K$56,(SUM(Z295:Z306)-'Retirement Planning'!$I$54-'Retirement Planning'!$I$61)*'Retirement Planning'!$I$56))))))/12,AA306)</f>
        <v>3130.1621921675833</v>
      </c>
      <c r="AB307" s="104">
        <f t="shared" ca="1" si="134"/>
        <v>0.25086107931694401</v>
      </c>
      <c r="AC307" s="7">
        <f>IF(B307&lt;65,'Retirement Planning'!$J$28,0)</f>
        <v>0</v>
      </c>
      <c r="AD307" s="7">
        <f>IF(B307&lt;65,'Retirement Planning'!$J$29/12,0)</f>
        <v>0</v>
      </c>
      <c r="AE307" s="22">
        <f>'Retirement Planning'!$J$31/12</f>
        <v>58.333333333333336</v>
      </c>
      <c r="AF307" s="22">
        <f>'Retirement Planning'!$J$32/12</f>
        <v>66.666666666666671</v>
      </c>
      <c r="AG307" s="7">
        <f>IF($B307&gt;64.9,'Retirement Planning'!$J$39/12,0)</f>
        <v>183.33333333333334</v>
      </c>
      <c r="AH307" s="7">
        <f>IF($B307&gt;64.9,'Retirement Planning'!$J$40/12,0)</f>
        <v>258.33333333333331</v>
      </c>
      <c r="AI307" s="7">
        <f>IF($B307&gt;64.9,'Retirement Planning'!$J$41/12,0)</f>
        <v>558.33333333333337</v>
      </c>
      <c r="AJ307" s="7">
        <f t="shared" ca="1" si="116"/>
        <v>316.66666666666663</v>
      </c>
      <c r="AK307" s="3" t="str">
        <f t="shared" ca="1" si="117"/>
        <v>N/A</v>
      </c>
      <c r="AL307" s="6" t="str">
        <f t="shared" ca="1" si="118"/>
        <v>N/A</v>
      </c>
      <c r="AM307" s="7">
        <f t="shared" ca="1" si="119"/>
        <v>1.1368683772161603E-12</v>
      </c>
      <c r="AN307" s="7">
        <f t="shared" ca="1" si="120"/>
        <v>16109.126462426435</v>
      </c>
      <c r="AO307" s="7">
        <f t="shared" si="121"/>
        <v>1125</v>
      </c>
    </row>
    <row r="308" spans="1:41" x14ac:dyDescent="0.2">
      <c r="A308">
        <f t="shared" si="122"/>
        <v>50</v>
      </c>
      <c r="B308" s="5">
        <f t="shared" si="123"/>
        <v>81.099999999999994</v>
      </c>
      <c r="C308" s="56">
        <f t="shared" si="124"/>
        <v>55488</v>
      </c>
      <c r="D308" s="57">
        <f ca="1">IF(AND(B307&lt;59.5,OR(B308&gt;59.5,B308=59.5)),(D307-E307+J307-K307)*(1+'Retirement Planning'!$J$23/12),(D307-E307)*(1+'Retirement Planning'!$J$23/12))</f>
        <v>668046.6769718898</v>
      </c>
      <c r="E308" s="58">
        <f t="shared" ca="1" si="111"/>
        <v>1569.8613750449513</v>
      </c>
      <c r="F308" s="57">
        <f ca="1">IF(AND(OR(B308&gt;59.5,B308=59.5),B307&lt;59.5),(F307-G307+L307-M307+N307-O307)*(1+'Retirement Planning'!$J$23/12),(F307-G307)*(1+'Retirement Planning'!$J$23/12))</f>
        <v>1389641.5463379701</v>
      </c>
      <c r="G308" s="58">
        <f ca="1">IF(AND($B$10&lt;55,B308&lt;59.5),'Retirement Planning'!$J$25,IF(OR(B308&gt;59.5,B308=59.5),MAX(0,MIN(F308,IF(D308&lt;2500,((Y308+AJ308+AA308))-X308,((Y308+AJ308+AA308)*'Retirement Planning'!$J$44)-X308))),0))</f>
        <v>11180.042434565412</v>
      </c>
      <c r="H308" s="255">
        <f ca="1">IF(MONTH(C308)=1,IF(B308&gt;69.5,F308/(INDEX('Retirement Planning'!D$1:D$264,(160+INT(B308))))/12,0),IF(F308=0,0,H307))</f>
        <v>10837.768214760361</v>
      </c>
      <c r="I308" s="262">
        <f t="shared" ca="1" si="112"/>
        <v>0</v>
      </c>
      <c r="J308" s="254">
        <f ca="1">IF(AND(B307&lt;59.5,OR(B308=59.5,B308&gt;59.5)),0,(J307-K307)*(1+'Retirement Planning'!$J$23/12))</f>
        <v>0</v>
      </c>
      <c r="K308" s="58">
        <f t="shared" ca="1" si="113"/>
        <v>0</v>
      </c>
      <c r="L308" s="57">
        <f>IF(AND(OR(B308&gt;59.5,B308=59.5),B307&lt;59.5),0,(L307-M307)*(1+'Retirement Planning'!$J$23/12))</f>
        <v>0</v>
      </c>
      <c r="M308" s="59">
        <f>IF(AND($B$10&lt;55,B308&lt;59.5),0,IF(B308&lt;59.5,MAX(0,MIN((($Y308+$AJ308+AA308)*'Retirement Planning'!$J$44)-$G308-$X308,L308)),0))</f>
        <v>0</v>
      </c>
      <c r="N308" s="57">
        <f ca="1">(N307-O307)*(1+'Retirement Planning'!$J$23/12)</f>
        <v>0</v>
      </c>
      <c r="O308" s="59">
        <f ca="1">IF(B308&gt;59.5,MAX(0,MIN((AA308+$Y308+$AJ308)*(IF(D308&lt;(MIN(E296:E307)+1),1,'Retirement Planning'!$J$44))-M308-$G308-$X308-(IF(D308&lt;(MIN(E296:E307)+1),D308,0)),N308)),0)</f>
        <v>0</v>
      </c>
      <c r="P308" s="57">
        <f t="shared" si="125"/>
        <v>0</v>
      </c>
      <c r="Q308" s="58">
        <f t="shared" si="126"/>
        <v>0</v>
      </c>
      <c r="R308" s="57">
        <f ca="1">(R307-S307-T307)*(1+'Retirement Planning'!$J$23/12)</f>
        <v>836448.81586942787</v>
      </c>
      <c r="S308" s="58">
        <f t="shared" ca="1" si="127"/>
        <v>808.33333333333337</v>
      </c>
      <c r="T308" s="273">
        <f t="shared" ca="1" si="114"/>
        <v>1.3642420526593924E-12</v>
      </c>
      <c r="U308" s="57">
        <f ca="1">(U307-V307)*(1+'Retirement Planning'!$J$23/12)</f>
        <v>548701.78646207531</v>
      </c>
      <c r="V308" s="24">
        <f ca="1">IF(AND($B$10&lt;55,B308&lt;59.5),MIN(U308,MAX(0,(Y308+AA308+AJ308-G308)*'Retirement Planning'!$J$45)),IF(B308&lt;59.5,(MIN(U308,MAX(0,((Y308+AA308+AJ308)-G308-M308)*'Retirement Planning'!$J$45))),MIN(U308,MAX(0,(Y308+AA308+AJ308-G308-M308-K308-X308)*'Retirement Planning'!$J$45))))</f>
        <v>1337.2893194827368</v>
      </c>
      <c r="W308" s="7">
        <f t="shared" ca="1" si="115"/>
        <v>3442838.8256413629</v>
      </c>
      <c r="X308" s="7">
        <f>(IF(B308&gt;'Retirement Planning'!$J$34,IF('Retirement Planning'!$J$34=70,'Retirement Planning'!$J$37/12,IF('Retirement Planning'!$J$34=67,'Retirement Planning'!$J$36/12,'Retirement Planning'!$J$35/12)),0))*'Retirement Planning'!$J$38</f>
        <v>1213.6000000000001</v>
      </c>
      <c r="Y308" s="7">
        <f ca="1">'Retirement Planning'!$F$35*((1+'Retirement Planning'!$J$24)^(YEAR('Projected Retirement Drawdown'!C308)-YEAR(TODAY())))</f>
        <v>11853.964270258852</v>
      </c>
      <c r="Z308" s="7">
        <f ca="1">G308+M308+O308+0.85*X308+V308*'Retirement Planning'!$J$46+T308</f>
        <v>12947.111560280919</v>
      </c>
      <c r="AA308" s="7">
        <f ca="1">IF(MONTH(C308)=1,(((MIN(MAX(0,((SUM(Z296:Z307)-'Retirement Planning'!$I$53-'Retirement Planning'!$I$54)-'Retirement Planning'!$J$51)*'Retirement Planning'!$I$52))))+(MIN(MAX(0,((SUM(Z296:Z307)-'Retirement Planning'!$I$53-'Retirement Planning'!$I$54)-'Retirement Planning'!$J$50)*'Retirement Planning'!$I$51),('Retirement Planning'!$J$51-'Retirement Planning'!$J$50)*'Retirement Planning'!$I$51))+(MIN(MAX(0,((SUM(Z296:Z307)-'Retirement Planning'!$I$53-'Retirement Planning'!$I$54)-'Retirement Planning'!$J$49)*'Retirement Planning'!$I$50),('Retirement Planning'!$J$50-'Retirement Planning'!$J$49)*'Retirement Planning'!$I$50)+MIN(MAX(0,((SUM(Z296:Z307)-'Retirement Planning'!$I$53-'Retirement Planning'!$I$54)-'Retirement Planning'!$J$48)*'Retirement Planning'!$I$49),('Retirement Planning'!$J$49-'Retirement Planning'!$J$48)*'Retirement Planning'!$I$49)+MIN(((SUM(Z296:Z307)-'Retirement Planning'!$I$53-'Retirement Planning'!$I$54))*'Retirement Planning'!$I$48,('Retirement Planning'!$J$48)*'Retirement Planning'!$I$48))+(IF((SUM(Z296:Z307)-'Retirement Planning'!$I$54-'Retirement Planning'!$I$61)&gt;'Retirement Planning'!$J$59,(SUM(Z296:Z307)-'Retirement Planning'!$I$54-'Retirement Planning'!$I$61-'Retirement Planning'!$J$59)*'Retirement Planning'!$I$60+'Retirement Planning'!$K$59,IF((SUM(Z296:Z307)-'Retirement Planning'!$I$54-'Retirement Planning'!$I$61)&gt;'Retirement Planning'!$J$58,(SUM(Z296:Z307)-'Retirement Planning'!$I$54-'Retirement Planning'!$I$61-'Retirement Planning'!$J$58)*'Retirement Planning'!$I$59+'Retirement Planning'!$K$58,IF((SUM(Z296:Z307)-'Retirement Planning'!$I$54-'Retirement Planning'!$I$61)&gt;'Retirement Planning'!$J$57,(SUM(Z296:Z307)-'Retirement Planning'!$I$54-'Retirement Planning'!$I$61-'Retirement Planning'!$J$57)*'Retirement Planning'!$I$58+'Retirement Planning'!$K$57,IF((SUM(Z296:Z307)-'Retirement Planning'!$I$54-'Retirement Planning'!$I$61)&gt;'Retirement Planning'!$J$56,(SUM(Z296:Z307)-'Retirement Planning'!$I$54-'Retirement Planning'!$I$61-'Retirement Planning'!$J$56)*'Retirement Planning'!$I$57+'Retirement Planning'!$K$56,(SUM(Z296:Z307)-'Retirement Planning'!$I$54-'Retirement Planning'!$I$61)*'Retirement Planning'!$I$56))))))/12,AA307)</f>
        <v>3130.1621921675833</v>
      </c>
      <c r="AB308" s="104">
        <f t="shared" ca="1" si="134"/>
        <v>0.25086107931694401</v>
      </c>
      <c r="AC308" s="7">
        <f>IF(B308&lt;65,'Retirement Planning'!$J$28,0)</f>
        <v>0</v>
      </c>
      <c r="AD308" s="7">
        <f>IF(B308&lt;65,'Retirement Planning'!$J$29/12,0)</f>
        <v>0</v>
      </c>
      <c r="AE308" s="22">
        <f>'Retirement Planning'!$J$31/12</f>
        <v>58.333333333333336</v>
      </c>
      <c r="AF308" s="22">
        <f>'Retirement Planning'!$J$32/12</f>
        <v>66.666666666666671</v>
      </c>
      <c r="AG308" s="7">
        <f>IF($B308&gt;64.9,'Retirement Planning'!$J$39/12,0)</f>
        <v>183.33333333333334</v>
      </c>
      <c r="AH308" s="7">
        <f>IF($B308&gt;64.9,'Retirement Planning'!$J$40/12,0)</f>
        <v>258.33333333333331</v>
      </c>
      <c r="AI308" s="7">
        <f>IF($B308&gt;64.9,'Retirement Planning'!$J$41/12,0)</f>
        <v>558.33333333333337</v>
      </c>
      <c r="AJ308" s="7">
        <f t="shared" ca="1" si="116"/>
        <v>316.66666666666663</v>
      </c>
      <c r="AK308" s="3" t="str">
        <f t="shared" ca="1" si="117"/>
        <v>N/A</v>
      </c>
      <c r="AL308" s="6" t="str">
        <f t="shared" ca="1" si="118"/>
        <v>N/A</v>
      </c>
      <c r="AM308" s="7">
        <f t="shared" ca="1" si="119"/>
        <v>1.1368683772161603E-12</v>
      </c>
      <c r="AN308" s="7">
        <f t="shared" ca="1" si="120"/>
        <v>16109.126462426435</v>
      </c>
      <c r="AO308" s="7">
        <f t="shared" si="121"/>
        <v>1125</v>
      </c>
    </row>
    <row r="309" spans="1:41" x14ac:dyDescent="0.2">
      <c r="A309">
        <f t="shared" si="122"/>
        <v>50</v>
      </c>
      <c r="B309" s="5">
        <f t="shared" si="123"/>
        <v>81.2</v>
      </c>
      <c r="C309" s="56">
        <f t="shared" si="124"/>
        <v>55519</v>
      </c>
      <c r="D309" s="57">
        <f ca="1">IF(AND(B308&lt;59.5,OR(B309&gt;59.5,B309=59.5)),(D308-E308+J308-K308)*(1+'Retirement Planning'!$J$23/12),(D308-E308)*(1+'Retirement Planning'!$J$23/12))</f>
        <v>671197.69304065581</v>
      </c>
      <c r="E309" s="58">
        <f t="shared" ca="1" si="111"/>
        <v>1627.9572048208029</v>
      </c>
      <c r="F309" s="57">
        <f ca="1">IF(AND(OR(B309&gt;59.5,B309=59.5),B308&lt;59.5),(F308-G308+L308-M308+N308-O308)*(1+'Retirement Planning'!$J$23/12),(F308-G308)*(1+'Retirement Planning'!$J$23/12))</f>
        <v>1388225.6062227204</v>
      </c>
      <c r="G309" s="58">
        <f ca="1">IF(AND($B$10&lt;55,B309&lt;59.5),'Retirement Planning'!$J$25,IF(OR(B309&gt;59.5,B309=59.5),MAX(0,MIN(F309,IF(D309&lt;2500,((Y309+AJ309+AA309))-X309,((Y309+AJ309+AA309)*'Retirement Planning'!$J$44)-X309))),0))</f>
        <v>11638.693722269507</v>
      </c>
      <c r="H309" s="255">
        <f ca="1">IF(MONTH(C309)=1,IF(B309&gt;69.5,F309/(INDEX('Retirement Planning'!D$1:D$264,(160+INT(B309))))/12,0),IF(F309=0,0,H308))</f>
        <v>11341.712469139873</v>
      </c>
      <c r="I309" s="262">
        <f t="shared" ca="1" si="112"/>
        <v>0</v>
      </c>
      <c r="J309" s="254">
        <f ca="1">IF(AND(B308&lt;59.5,OR(B309=59.5,B309&gt;59.5)),0,(J308-K308)*(1+'Retirement Planning'!$J$23/12))</f>
        <v>0</v>
      </c>
      <c r="K309" s="58">
        <f t="shared" ca="1" si="113"/>
        <v>0</v>
      </c>
      <c r="L309" s="57">
        <f>IF(AND(OR(B309&gt;59.5,B309=59.5),B308&lt;59.5),0,(L308-M308)*(1+'Retirement Planning'!$J$23/12))</f>
        <v>0</v>
      </c>
      <c r="M309" s="59">
        <f>IF(AND($B$10&lt;55,B309&lt;59.5),0,IF(B309&lt;59.5,MAX(0,MIN((($Y309+$AJ309+AA309)*'Retirement Planning'!$J$44)-$G309-$X309,L309)),0))</f>
        <v>0</v>
      </c>
      <c r="N309" s="57">
        <f ca="1">(N308-O308)*(1+'Retirement Planning'!$J$23/12)</f>
        <v>0</v>
      </c>
      <c r="O309" s="59">
        <f ca="1">IF(B309&gt;59.5,MAX(0,MIN((AA309+$Y309+$AJ309)*(IF(D309&lt;(MIN(E297:E308)+1),1,'Retirement Planning'!$J$44))-M309-$G309-$X309-(IF(D309&lt;(MIN(E297:E308)+1),D309,0)),N309)),0)</f>
        <v>0</v>
      </c>
      <c r="P309" s="57">
        <f t="shared" si="125"/>
        <v>0</v>
      </c>
      <c r="Q309" s="58">
        <f t="shared" si="126"/>
        <v>0</v>
      </c>
      <c r="R309" s="57">
        <f ca="1">(R308-S308-T308)*(1+'Retirement Planning'!$J$23/12)</f>
        <v>841559.60262072517</v>
      </c>
      <c r="S309" s="58">
        <f t="shared" ca="1" si="127"/>
        <v>808.33333333333337</v>
      </c>
      <c r="T309" s="273">
        <f t="shared" ca="1" si="114"/>
        <v>3.1832314562052488E-12</v>
      </c>
      <c r="U309" s="57">
        <f ca="1">(U308-V308)*(1+'Retirement Planning'!$J$23/12)</f>
        <v>551241.66233068588</v>
      </c>
      <c r="V309" s="24">
        <f ca="1">IF(AND($B$10&lt;55,B309&lt;59.5),MIN(U309,MAX(0,(Y309+AA309+AJ309-G309)*'Retirement Planning'!$J$45)),IF(B309&lt;59.5,(MIN(U309,MAX(0,((Y309+AA309+AJ309)-G309-M309)*'Retirement Planning'!$J$45))),MIN(U309,MAX(0,(Y309+AA309+AJ309-G309-M309-K309-X309)*'Retirement Planning'!$J$45))))</f>
        <v>1386.7783596621659</v>
      </c>
      <c r="W309" s="7">
        <f t="shared" ca="1" si="115"/>
        <v>3452224.5642147874</v>
      </c>
      <c r="X309" s="7">
        <f>(IF(B309&gt;'Retirement Planning'!$J$34,IF('Retirement Planning'!$J$34=70,'Retirement Planning'!$J$37/12,IF('Retirement Planning'!$J$34=67,'Retirement Planning'!$J$36/12,'Retirement Planning'!$J$35/12)),0))*'Retirement Planning'!$J$38</f>
        <v>1213.6000000000001</v>
      </c>
      <c r="Y309" s="7">
        <f ca="1">'Retirement Planning'!$F$35*((1+'Retirement Planning'!$J$24)^(YEAR('Projected Retirement Drawdown'!C309)-YEAR(TODAY())))</f>
        <v>12268.85301971791</v>
      </c>
      <c r="Z309" s="7">
        <f ca="1">G309+M309+O309+0.85*X309+V309*'Retirement Planning'!$J$46+T309</f>
        <v>13432.981820083702</v>
      </c>
      <c r="AA309" s="7">
        <f ca="1">IF(MONTH(C309)=1,(((MIN(MAX(0,((SUM(Z297:Z308)-'Retirement Planning'!$I$53-'Retirement Planning'!$I$54)-'Retirement Planning'!$J$51)*'Retirement Planning'!$I$52))))+(MIN(MAX(0,((SUM(Z297:Z308)-'Retirement Planning'!$I$53-'Retirement Planning'!$I$54)-'Retirement Planning'!$J$50)*'Retirement Planning'!$I$51),('Retirement Planning'!$J$51-'Retirement Planning'!$J$50)*'Retirement Planning'!$I$51))+(MIN(MAX(0,((SUM(Z297:Z308)-'Retirement Planning'!$I$53-'Retirement Planning'!$I$54)-'Retirement Planning'!$J$49)*'Retirement Planning'!$I$50),('Retirement Planning'!$J$50-'Retirement Planning'!$J$49)*'Retirement Planning'!$I$50)+MIN(MAX(0,((SUM(Z297:Z308)-'Retirement Planning'!$I$53-'Retirement Planning'!$I$54)-'Retirement Planning'!$J$48)*'Retirement Planning'!$I$49),('Retirement Planning'!$J$49-'Retirement Planning'!$J$48)*'Retirement Planning'!$I$49)+MIN(((SUM(Z297:Z308)-'Retirement Planning'!$I$53-'Retirement Planning'!$I$54))*'Retirement Planning'!$I$48,('Retirement Planning'!$J$48)*'Retirement Planning'!$I$48))+(IF((SUM(Z297:Z308)-'Retirement Planning'!$I$54-'Retirement Planning'!$I$61)&gt;'Retirement Planning'!$J$59,(SUM(Z297:Z308)-'Retirement Planning'!$I$54-'Retirement Planning'!$I$61-'Retirement Planning'!$J$59)*'Retirement Planning'!$I$60+'Retirement Planning'!$K$59,IF((SUM(Z297:Z308)-'Retirement Planning'!$I$54-'Retirement Planning'!$I$61)&gt;'Retirement Planning'!$J$58,(SUM(Z297:Z308)-'Retirement Planning'!$I$54-'Retirement Planning'!$I$61-'Retirement Planning'!$J$58)*'Retirement Planning'!$I$59+'Retirement Planning'!$K$58,IF((SUM(Z297:Z308)-'Retirement Planning'!$I$54-'Retirement Planning'!$I$61)&gt;'Retirement Planning'!$J$57,(SUM(Z297:Z308)-'Retirement Planning'!$I$54-'Retirement Planning'!$I$61-'Retirement Planning'!$J$57)*'Retirement Planning'!$I$58+'Retirement Planning'!$K$57,IF((SUM(Z297:Z308)-'Retirement Planning'!$I$54-'Retirement Planning'!$I$61)&gt;'Retirement Planning'!$J$56,(SUM(Z297:Z308)-'Retirement Planning'!$I$54-'Retirement Planning'!$I$61-'Retirement Planning'!$J$56)*'Retirement Planning'!$I$57+'Retirement Planning'!$K$56,(SUM(Z297:Z308)-'Retirement Planning'!$I$54-'Retirement Planning'!$I$61)*'Retirement Planning'!$I$56))))))/12,AA308)</f>
        <v>3281.5096003679009</v>
      </c>
      <c r="AB309" s="104">
        <f t="shared" ref="AB309" ca="1" si="135">SUM(AA309:AA320)/SUM(Z297:Z308)</f>
        <v>0.25345495673605672</v>
      </c>
      <c r="AC309" s="7">
        <f>IF(B309&lt;65,'Retirement Planning'!$J$28,0)</f>
        <v>0</v>
      </c>
      <c r="AD309" s="7">
        <f>IF(B309&lt;65,'Retirement Planning'!$J$29/12,0)</f>
        <v>0</v>
      </c>
      <c r="AE309" s="22">
        <f>'Retirement Planning'!$J$31/12</f>
        <v>58.333333333333336</v>
      </c>
      <c r="AF309" s="22">
        <f>'Retirement Planning'!$J$32/12</f>
        <v>66.666666666666671</v>
      </c>
      <c r="AG309" s="7">
        <f>IF($B309&gt;64.9,'Retirement Planning'!$J$39/12,0)</f>
        <v>183.33333333333334</v>
      </c>
      <c r="AH309" s="7">
        <f>IF($B309&gt;64.9,'Retirement Planning'!$J$40/12,0)</f>
        <v>258.33333333333331</v>
      </c>
      <c r="AI309" s="7">
        <f>IF($B309&gt;64.9,'Retirement Planning'!$J$41/12,0)</f>
        <v>558.33333333333337</v>
      </c>
      <c r="AJ309" s="7">
        <f t="shared" ca="1" si="116"/>
        <v>316.66666666666663</v>
      </c>
      <c r="AK309" s="3" t="str">
        <f t="shared" ca="1" si="117"/>
        <v>N/A</v>
      </c>
      <c r="AL309" s="6" t="str">
        <f t="shared" ca="1" si="118"/>
        <v>N/A</v>
      </c>
      <c r="AM309" s="7">
        <f t="shared" ca="1" si="119"/>
        <v>-6.8212102632969618E-13</v>
      </c>
      <c r="AN309" s="7">
        <f t="shared" ca="1" si="120"/>
        <v>16675.362620085813</v>
      </c>
      <c r="AO309" s="7">
        <f t="shared" si="121"/>
        <v>1125</v>
      </c>
    </row>
    <row r="310" spans="1:41" x14ac:dyDescent="0.2">
      <c r="A310">
        <f t="shared" si="122"/>
        <v>50</v>
      </c>
      <c r="B310" s="5">
        <f t="shared" si="123"/>
        <v>81.3</v>
      </c>
      <c r="C310" s="56">
        <f t="shared" si="124"/>
        <v>55550</v>
      </c>
      <c r="D310" s="57">
        <f ca="1">IF(AND(B309&lt;59.5,OR(B310&gt;59.5,B310=59.5)),(D309-E309+J309-K309)*(1+'Retirement Planning'!$J$23/12),(D309-E309)*(1+'Retirement Planning'!$J$23/12))</f>
        <v>674312.52146467217</v>
      </c>
      <c r="E310" s="58">
        <f t="shared" ca="1" si="111"/>
        <v>1627.9572048208029</v>
      </c>
      <c r="F310" s="57">
        <f ca="1">IF(AND(OR(B310&gt;59.5,B310=59.5),B309&lt;59.5),(F309-G309+L309-M309+N309-O309)*(1+'Retirement Planning'!$J$23/12),(F309-G309)*(1+'Retirement Planning'!$J$23/12))</f>
        <v>1386337.7364639957</v>
      </c>
      <c r="G310" s="58">
        <f ca="1">IF(AND($B$10&lt;55,B310&lt;59.5),'Retirement Planning'!$J$25,IF(OR(B310&gt;59.5,B310=59.5),MAX(0,MIN(F310,IF(D310&lt;2500,((Y310+AJ310+AA310))-X310,((Y310+AJ310+AA310)*'Retirement Planning'!$J$44)-X310))),0))</f>
        <v>11638.693722269507</v>
      </c>
      <c r="H310" s="255">
        <f ca="1">IF(MONTH(C310)=1,IF(B310&gt;69.5,F310/(INDEX('Retirement Planning'!D$1:D$264,(160+INT(B310))))/12,0),IF(F310=0,0,H309))</f>
        <v>11341.712469139873</v>
      </c>
      <c r="I310" s="262">
        <f t="shared" ca="1" si="112"/>
        <v>0</v>
      </c>
      <c r="J310" s="254">
        <f ca="1">IF(AND(B309&lt;59.5,OR(B310=59.5,B310&gt;59.5)),0,(J309-K309)*(1+'Retirement Planning'!$J$23/12))</f>
        <v>0</v>
      </c>
      <c r="K310" s="58">
        <f t="shared" ca="1" si="113"/>
        <v>0</v>
      </c>
      <c r="L310" s="57">
        <f>IF(AND(OR(B310&gt;59.5,B310=59.5),B309&lt;59.5),0,(L309-M309)*(1+'Retirement Planning'!$J$23/12))</f>
        <v>0</v>
      </c>
      <c r="M310" s="59">
        <f>IF(AND($B$10&lt;55,B310&lt;59.5),0,IF(B310&lt;59.5,MAX(0,MIN((($Y310+$AJ310+AA310)*'Retirement Planning'!$J$44)-$G310-$X310,L310)),0))</f>
        <v>0</v>
      </c>
      <c r="N310" s="57">
        <f ca="1">(N309-O309)*(1+'Retirement Planning'!$J$23/12)</f>
        <v>0</v>
      </c>
      <c r="O310" s="59">
        <f ca="1">IF(B310&gt;59.5,MAX(0,MIN((AA310+$Y310+$AJ310)*(IF(D310&lt;(MIN(E298:E309)+1),1,'Retirement Planning'!$J$44))-M310-$G310-$X310-(IF(D310&lt;(MIN(E298:E309)+1),D310,0)),N310)),0)</f>
        <v>0</v>
      </c>
      <c r="P310" s="57">
        <f t="shared" si="125"/>
        <v>0</v>
      </c>
      <c r="Q310" s="58">
        <f t="shared" si="126"/>
        <v>0</v>
      </c>
      <c r="R310" s="57">
        <f ca="1">(R309-S309-T309)*(1+'Retirement Planning'!$J$23/12)</f>
        <v>846706.59077817749</v>
      </c>
      <c r="S310" s="58">
        <f t="shared" ca="1" si="127"/>
        <v>808.33333333333337</v>
      </c>
      <c r="T310" s="273">
        <f t="shared" ca="1" si="114"/>
        <v>3.1832314562052488E-12</v>
      </c>
      <c r="U310" s="57">
        <f ca="1">(U309-V309)*(1+'Retirement Planning'!$J$23/12)</f>
        <v>553749.68939915183</v>
      </c>
      <c r="V310" s="24">
        <f ca="1">IF(AND($B$10&lt;55,B310&lt;59.5),MIN(U310,MAX(0,(Y310+AA310+AJ310-G310)*'Retirement Planning'!$J$45)),IF(B310&lt;59.5,(MIN(U310,MAX(0,((Y310+AA310+AJ310)-G310-M310)*'Retirement Planning'!$J$45))),MIN(U310,MAX(0,(Y310+AA310+AJ310-G310-M310-K310-X310)*'Retirement Planning'!$J$45))))</f>
        <v>1386.7783596621659</v>
      </c>
      <c r="W310" s="7">
        <f t="shared" ca="1" si="115"/>
        <v>3461106.5381059973</v>
      </c>
      <c r="X310" s="7">
        <f>(IF(B310&gt;'Retirement Planning'!$J$34,IF('Retirement Planning'!$J$34=70,'Retirement Planning'!$J$37/12,IF('Retirement Planning'!$J$34=67,'Retirement Planning'!$J$36/12,'Retirement Planning'!$J$35/12)),0))*'Retirement Planning'!$J$38</f>
        <v>1213.6000000000001</v>
      </c>
      <c r="Y310" s="7">
        <f ca="1">'Retirement Planning'!$F$35*((1+'Retirement Planning'!$J$24)^(YEAR('Projected Retirement Drawdown'!C310)-YEAR(TODAY())))</f>
        <v>12268.85301971791</v>
      </c>
      <c r="Z310" s="7">
        <f ca="1">G310+M310+O310+0.85*X310+V310*'Retirement Planning'!$J$46+T310</f>
        <v>13432.981820083702</v>
      </c>
      <c r="AA310" s="7">
        <f ca="1">IF(MONTH(C310)=1,(((MIN(MAX(0,((SUM(Z298:Z309)-'Retirement Planning'!$I$53-'Retirement Planning'!$I$54)-'Retirement Planning'!$J$51)*'Retirement Planning'!$I$52))))+(MIN(MAX(0,((SUM(Z298:Z309)-'Retirement Planning'!$I$53-'Retirement Planning'!$I$54)-'Retirement Planning'!$J$50)*'Retirement Planning'!$I$51),('Retirement Planning'!$J$51-'Retirement Planning'!$J$50)*'Retirement Planning'!$I$51))+(MIN(MAX(0,((SUM(Z298:Z309)-'Retirement Planning'!$I$53-'Retirement Planning'!$I$54)-'Retirement Planning'!$J$49)*'Retirement Planning'!$I$50),('Retirement Planning'!$J$50-'Retirement Planning'!$J$49)*'Retirement Planning'!$I$50)+MIN(MAX(0,((SUM(Z298:Z309)-'Retirement Planning'!$I$53-'Retirement Planning'!$I$54)-'Retirement Planning'!$J$48)*'Retirement Planning'!$I$49),('Retirement Planning'!$J$49-'Retirement Planning'!$J$48)*'Retirement Planning'!$I$49)+MIN(((SUM(Z298:Z309)-'Retirement Planning'!$I$53-'Retirement Planning'!$I$54))*'Retirement Planning'!$I$48,('Retirement Planning'!$J$48)*'Retirement Planning'!$I$48))+(IF((SUM(Z298:Z309)-'Retirement Planning'!$I$54-'Retirement Planning'!$I$61)&gt;'Retirement Planning'!$J$59,(SUM(Z298:Z309)-'Retirement Planning'!$I$54-'Retirement Planning'!$I$61-'Retirement Planning'!$J$59)*'Retirement Planning'!$I$60+'Retirement Planning'!$K$59,IF((SUM(Z298:Z309)-'Retirement Planning'!$I$54-'Retirement Planning'!$I$61)&gt;'Retirement Planning'!$J$58,(SUM(Z298:Z309)-'Retirement Planning'!$I$54-'Retirement Planning'!$I$61-'Retirement Planning'!$J$58)*'Retirement Planning'!$I$59+'Retirement Planning'!$K$58,IF((SUM(Z298:Z309)-'Retirement Planning'!$I$54-'Retirement Planning'!$I$61)&gt;'Retirement Planning'!$J$57,(SUM(Z298:Z309)-'Retirement Planning'!$I$54-'Retirement Planning'!$I$61-'Retirement Planning'!$J$57)*'Retirement Planning'!$I$58+'Retirement Planning'!$K$57,IF((SUM(Z298:Z309)-'Retirement Planning'!$I$54-'Retirement Planning'!$I$61)&gt;'Retirement Planning'!$J$56,(SUM(Z298:Z309)-'Retirement Planning'!$I$54-'Retirement Planning'!$I$61-'Retirement Planning'!$J$56)*'Retirement Planning'!$I$57+'Retirement Planning'!$K$56,(SUM(Z298:Z309)-'Retirement Planning'!$I$54-'Retirement Planning'!$I$61)*'Retirement Planning'!$I$56))))))/12,AA309)</f>
        <v>3281.5096003679009</v>
      </c>
      <c r="AB310" s="104">
        <f t="shared" ref="AB310:AB341" ca="1" si="136">AB309</f>
        <v>0.25345495673605672</v>
      </c>
      <c r="AC310" s="7">
        <f>IF(B310&lt;65,'Retirement Planning'!$J$28,0)</f>
        <v>0</v>
      </c>
      <c r="AD310" s="7">
        <f>IF(B310&lt;65,'Retirement Planning'!$J$29/12,0)</f>
        <v>0</v>
      </c>
      <c r="AE310" s="22">
        <f>'Retirement Planning'!$J$31/12</f>
        <v>58.333333333333336</v>
      </c>
      <c r="AF310" s="22">
        <f>'Retirement Planning'!$J$32/12</f>
        <v>66.666666666666671</v>
      </c>
      <c r="AG310" s="7">
        <f>IF($B310&gt;64.9,'Retirement Planning'!$J$39/12,0)</f>
        <v>183.33333333333334</v>
      </c>
      <c r="AH310" s="7">
        <f>IF($B310&gt;64.9,'Retirement Planning'!$J$40/12,0)</f>
        <v>258.33333333333331</v>
      </c>
      <c r="AI310" s="7">
        <f>IF($B310&gt;64.9,'Retirement Planning'!$J$41/12,0)</f>
        <v>558.33333333333337</v>
      </c>
      <c r="AJ310" s="7">
        <f t="shared" ca="1" si="116"/>
        <v>316.66666666666663</v>
      </c>
      <c r="AK310" s="3" t="str">
        <f t="shared" ca="1" si="117"/>
        <v>N/A</v>
      </c>
      <c r="AL310" s="6" t="str">
        <f t="shared" ca="1" si="118"/>
        <v>N/A</v>
      </c>
      <c r="AM310" s="7">
        <f t="shared" ca="1" si="119"/>
        <v>-6.8212102632969618E-13</v>
      </c>
      <c r="AN310" s="7">
        <f t="shared" ca="1" si="120"/>
        <v>16675.362620085813</v>
      </c>
      <c r="AO310" s="7">
        <f t="shared" si="121"/>
        <v>1125</v>
      </c>
    </row>
    <row r="311" spans="1:41" x14ac:dyDescent="0.2">
      <c r="A311">
        <f t="shared" si="122"/>
        <v>50</v>
      </c>
      <c r="B311" s="5">
        <f t="shared" si="123"/>
        <v>81.400000000000006</v>
      </c>
      <c r="C311" s="56">
        <f t="shared" si="124"/>
        <v>55579</v>
      </c>
      <c r="D311" s="57">
        <f ca="1">IF(AND(B310&lt;59.5,OR(B311&gt;59.5,B311=59.5)),(D310-E310+J310-K310)*(1+'Retirement Planning'!$J$23/12),(D310-E310)*(1+'Retirement Planning'!$J$23/12))</f>
        <v>677449.413256692</v>
      </c>
      <c r="E311" s="58">
        <f t="shared" ca="1" si="111"/>
        <v>1627.9572048208029</v>
      </c>
      <c r="F311" s="57">
        <f ca="1">IF(AND(OR(B311&gt;59.5,B311=59.5),B310&lt;59.5),(F310-G310+L310-M310+N310-O310)*(1+'Retirement Planning'!$J$23/12),(F310-G310)*(1+'Retirement Planning'!$J$23/12))</f>
        <v>1384436.49429448</v>
      </c>
      <c r="G311" s="58">
        <f ca="1">IF(AND($B$10&lt;55,B311&lt;59.5),'Retirement Planning'!$J$25,IF(OR(B311&gt;59.5,B311=59.5),MAX(0,MIN(F311,IF(D311&lt;2500,((Y311+AJ311+AA311))-X311,((Y311+AJ311+AA311)*'Retirement Planning'!$J$44)-X311))),0))</f>
        <v>11638.693722269507</v>
      </c>
      <c r="H311" s="255">
        <f ca="1">IF(MONTH(C311)=1,IF(B311&gt;69.5,F311/(INDEX('Retirement Planning'!D$1:D$264,(160+INT(B311))))/12,0),IF(F311=0,0,H310))</f>
        <v>11341.712469139873</v>
      </c>
      <c r="I311" s="262">
        <f t="shared" ca="1" si="112"/>
        <v>0</v>
      </c>
      <c r="J311" s="254">
        <f ca="1">IF(AND(B310&lt;59.5,OR(B311=59.5,B311&gt;59.5)),0,(J310-K310)*(1+'Retirement Planning'!$J$23/12))</f>
        <v>0</v>
      </c>
      <c r="K311" s="58">
        <f t="shared" ca="1" si="113"/>
        <v>0</v>
      </c>
      <c r="L311" s="57">
        <f>IF(AND(OR(B311&gt;59.5,B311=59.5),B310&lt;59.5),0,(L310-M310)*(1+'Retirement Planning'!$J$23/12))</f>
        <v>0</v>
      </c>
      <c r="M311" s="59">
        <f>IF(AND($B$10&lt;55,B311&lt;59.5),0,IF(B311&lt;59.5,MAX(0,MIN((($Y311+$AJ311+AA311)*'Retirement Planning'!$J$44)-$G311-$X311,L311)),0))</f>
        <v>0</v>
      </c>
      <c r="N311" s="57">
        <f ca="1">(N310-O310)*(1+'Retirement Planning'!$J$23/12)</f>
        <v>0</v>
      </c>
      <c r="O311" s="59">
        <f ca="1">IF(B311&gt;59.5,MAX(0,MIN((AA311+$Y311+$AJ311)*(IF(D311&lt;(MIN(E299:E310)+1),1,'Retirement Planning'!$J$44))-M311-$G311-$X311-(IF(D311&lt;(MIN(E299:E310)+1),D311,0)),N311)),0)</f>
        <v>0</v>
      </c>
      <c r="P311" s="57">
        <f t="shared" si="125"/>
        <v>0</v>
      </c>
      <c r="Q311" s="58">
        <f t="shared" si="126"/>
        <v>0</v>
      </c>
      <c r="R311" s="57">
        <f ca="1">(R310-S310-T310)*(1+'Retirement Planning'!$J$23/12)</f>
        <v>851890.03676841175</v>
      </c>
      <c r="S311" s="58">
        <f t="shared" ca="1" si="127"/>
        <v>808.33333333333337</v>
      </c>
      <c r="T311" s="273">
        <f t="shared" ca="1" si="114"/>
        <v>3.1832314562052488E-12</v>
      </c>
      <c r="U311" s="57">
        <f ca="1">(U310-V310)*(1+'Retirement Planning'!$J$23/12)</f>
        <v>556275.48165935266</v>
      </c>
      <c r="V311" s="24">
        <f ca="1">IF(AND($B$10&lt;55,B311&lt;59.5),MIN(U311,MAX(0,(Y311+AA311+AJ311-G311)*'Retirement Planning'!$J$45)),IF(B311&lt;59.5,(MIN(U311,MAX(0,((Y311+AA311+AJ311)-G311-M311)*'Retirement Planning'!$J$45))),MIN(U311,MAX(0,(Y311+AA311+AJ311-G311-M311-K311-X311)*'Retirement Planning'!$J$45))))</f>
        <v>1386.7783596621659</v>
      </c>
      <c r="W311" s="7">
        <f t="shared" ca="1" si="115"/>
        <v>3470051.4259789363</v>
      </c>
      <c r="X311" s="7">
        <f>(IF(B311&gt;'Retirement Planning'!$J$34,IF('Retirement Planning'!$J$34=70,'Retirement Planning'!$J$37/12,IF('Retirement Planning'!$J$34=67,'Retirement Planning'!$J$36/12,'Retirement Planning'!$J$35/12)),0))*'Retirement Planning'!$J$38</f>
        <v>1213.6000000000001</v>
      </c>
      <c r="Y311" s="7">
        <f ca="1">'Retirement Planning'!$F$35*((1+'Retirement Planning'!$J$24)^(YEAR('Projected Retirement Drawdown'!C311)-YEAR(TODAY())))</f>
        <v>12268.85301971791</v>
      </c>
      <c r="Z311" s="7">
        <f ca="1">G311+M311+O311+0.85*X311+V311*'Retirement Planning'!$J$46+T311</f>
        <v>13432.981820083702</v>
      </c>
      <c r="AA311" s="7">
        <f ca="1">IF(MONTH(C311)=1,(((MIN(MAX(0,((SUM(Z299:Z310)-'Retirement Planning'!$I$53-'Retirement Planning'!$I$54)-'Retirement Planning'!$J$51)*'Retirement Planning'!$I$52))))+(MIN(MAX(0,((SUM(Z299:Z310)-'Retirement Planning'!$I$53-'Retirement Planning'!$I$54)-'Retirement Planning'!$J$50)*'Retirement Planning'!$I$51),('Retirement Planning'!$J$51-'Retirement Planning'!$J$50)*'Retirement Planning'!$I$51))+(MIN(MAX(0,((SUM(Z299:Z310)-'Retirement Planning'!$I$53-'Retirement Planning'!$I$54)-'Retirement Planning'!$J$49)*'Retirement Planning'!$I$50),('Retirement Planning'!$J$50-'Retirement Planning'!$J$49)*'Retirement Planning'!$I$50)+MIN(MAX(0,((SUM(Z299:Z310)-'Retirement Planning'!$I$53-'Retirement Planning'!$I$54)-'Retirement Planning'!$J$48)*'Retirement Planning'!$I$49),('Retirement Planning'!$J$49-'Retirement Planning'!$J$48)*'Retirement Planning'!$I$49)+MIN(((SUM(Z299:Z310)-'Retirement Planning'!$I$53-'Retirement Planning'!$I$54))*'Retirement Planning'!$I$48,('Retirement Planning'!$J$48)*'Retirement Planning'!$I$48))+(IF((SUM(Z299:Z310)-'Retirement Planning'!$I$54-'Retirement Planning'!$I$61)&gt;'Retirement Planning'!$J$59,(SUM(Z299:Z310)-'Retirement Planning'!$I$54-'Retirement Planning'!$I$61-'Retirement Planning'!$J$59)*'Retirement Planning'!$I$60+'Retirement Planning'!$K$59,IF((SUM(Z299:Z310)-'Retirement Planning'!$I$54-'Retirement Planning'!$I$61)&gt;'Retirement Planning'!$J$58,(SUM(Z299:Z310)-'Retirement Planning'!$I$54-'Retirement Planning'!$I$61-'Retirement Planning'!$J$58)*'Retirement Planning'!$I$59+'Retirement Planning'!$K$58,IF((SUM(Z299:Z310)-'Retirement Planning'!$I$54-'Retirement Planning'!$I$61)&gt;'Retirement Planning'!$J$57,(SUM(Z299:Z310)-'Retirement Planning'!$I$54-'Retirement Planning'!$I$61-'Retirement Planning'!$J$57)*'Retirement Planning'!$I$58+'Retirement Planning'!$K$57,IF((SUM(Z299:Z310)-'Retirement Planning'!$I$54-'Retirement Planning'!$I$61)&gt;'Retirement Planning'!$J$56,(SUM(Z299:Z310)-'Retirement Planning'!$I$54-'Retirement Planning'!$I$61-'Retirement Planning'!$J$56)*'Retirement Planning'!$I$57+'Retirement Planning'!$K$56,(SUM(Z299:Z310)-'Retirement Planning'!$I$54-'Retirement Planning'!$I$61)*'Retirement Planning'!$I$56))))))/12,AA310)</f>
        <v>3281.5096003679009</v>
      </c>
      <c r="AB311" s="104">
        <f t="shared" ca="1" si="134"/>
        <v>0.25345495673605672</v>
      </c>
      <c r="AC311" s="7">
        <f>IF(B311&lt;65,'Retirement Planning'!$J$28,0)</f>
        <v>0</v>
      </c>
      <c r="AD311" s="7">
        <f>IF(B311&lt;65,'Retirement Planning'!$J$29/12,0)</f>
        <v>0</v>
      </c>
      <c r="AE311" s="22">
        <f>'Retirement Planning'!$J$31/12</f>
        <v>58.333333333333336</v>
      </c>
      <c r="AF311" s="22">
        <f>'Retirement Planning'!$J$32/12</f>
        <v>66.666666666666671</v>
      </c>
      <c r="AG311" s="7">
        <f>IF($B311&gt;64.9,'Retirement Planning'!$J$39/12,0)</f>
        <v>183.33333333333334</v>
      </c>
      <c r="AH311" s="7">
        <f>IF($B311&gt;64.9,'Retirement Planning'!$J$40/12,0)</f>
        <v>258.33333333333331</v>
      </c>
      <c r="AI311" s="7">
        <f>IF($B311&gt;64.9,'Retirement Planning'!$J$41/12,0)</f>
        <v>558.33333333333337</v>
      </c>
      <c r="AJ311" s="7">
        <f t="shared" ca="1" si="116"/>
        <v>316.66666666666663</v>
      </c>
      <c r="AK311" s="3" t="str">
        <f t="shared" ca="1" si="117"/>
        <v>N/A</v>
      </c>
      <c r="AL311" s="6" t="str">
        <f t="shared" ca="1" si="118"/>
        <v>N/A</v>
      </c>
      <c r="AM311" s="7">
        <f t="shared" ca="1" si="119"/>
        <v>-6.8212102632969618E-13</v>
      </c>
      <c r="AN311" s="7">
        <f t="shared" ca="1" si="120"/>
        <v>16675.362620085813</v>
      </c>
      <c r="AO311" s="7">
        <f t="shared" si="121"/>
        <v>1125</v>
      </c>
    </row>
    <row r="312" spans="1:41" x14ac:dyDescent="0.2">
      <c r="A312">
        <f t="shared" si="122"/>
        <v>50</v>
      </c>
      <c r="B312" s="5">
        <f t="shared" si="123"/>
        <v>81.5</v>
      </c>
      <c r="C312" s="56">
        <f t="shared" si="124"/>
        <v>55610</v>
      </c>
      <c r="D312" s="57">
        <f ca="1">IF(AND(B311&lt;59.5,OR(B312&gt;59.5,B312=59.5)),(D311-E311+J311-K311)*(1+'Retirement Planning'!$J$23/12),(D311-E311)*(1+'Retirement Planning'!$J$23/12))</f>
        <v>680608.5246989053</v>
      </c>
      <c r="E312" s="58">
        <f t="shared" ca="1" si="111"/>
        <v>1627.9572048208029</v>
      </c>
      <c r="F312" s="57">
        <f ca="1">IF(AND(OR(B312&gt;59.5,B312=59.5),B311&lt;59.5),(F311-G311+L311-M311+N311-O311)*(1+'Retirement Planning'!$J$23/12),(F311-G311)*(1+'Retirement Planning'!$J$23/12))</f>
        <v>1382521.7849929302</v>
      </c>
      <c r="G312" s="58">
        <f ca="1">IF(AND($B$10&lt;55,B312&lt;59.5),'Retirement Planning'!$J$25,IF(OR(B312&gt;59.5,B312=59.5),MAX(0,MIN(F312,IF(D312&lt;2500,((Y312+AJ312+AA312))-X312,((Y312+AJ312+AA312)*'Retirement Planning'!$J$44)-X312))),0))</f>
        <v>11638.693722269507</v>
      </c>
      <c r="H312" s="255">
        <f ca="1">IF(MONTH(C312)=1,IF(B312&gt;69.5,F312/(INDEX('Retirement Planning'!D$1:D$264,(160+INT(B312))))/12,0),IF(F312=0,0,H311))</f>
        <v>11341.712469139873</v>
      </c>
      <c r="I312" s="262">
        <f t="shared" ca="1" si="112"/>
        <v>0</v>
      </c>
      <c r="J312" s="254">
        <f ca="1">IF(AND(B311&lt;59.5,OR(B312=59.5,B312&gt;59.5)),0,(J311-K311)*(1+'Retirement Planning'!$J$23/12))</f>
        <v>0</v>
      </c>
      <c r="K312" s="58">
        <f t="shared" ca="1" si="113"/>
        <v>0</v>
      </c>
      <c r="L312" s="57">
        <f>IF(AND(OR(B312&gt;59.5,B312=59.5),B311&lt;59.5),0,(L311-M311)*(1+'Retirement Planning'!$J$23/12))</f>
        <v>0</v>
      </c>
      <c r="M312" s="59">
        <f>IF(AND($B$10&lt;55,B312&lt;59.5),0,IF(B312&lt;59.5,MAX(0,MIN((($Y312+$AJ312+AA312)*'Retirement Planning'!$J$44)-$G312-$X312,L312)),0))</f>
        <v>0</v>
      </c>
      <c r="N312" s="57">
        <f ca="1">(N311-O311)*(1+'Retirement Planning'!$J$23/12)</f>
        <v>0</v>
      </c>
      <c r="O312" s="59">
        <f ca="1">IF(B312&gt;59.5,MAX(0,MIN((AA312+$Y312+$AJ312)*(IF(D312&lt;(MIN(E300:E311)+1),1,'Retirement Planning'!$J$44))-M312-$G312-$X312-(IF(D312&lt;(MIN(E300:E311)+1),D312,0)),N312)),0)</f>
        <v>0</v>
      </c>
      <c r="P312" s="57">
        <f t="shared" si="125"/>
        <v>0</v>
      </c>
      <c r="Q312" s="58">
        <f t="shared" si="126"/>
        <v>0</v>
      </c>
      <c r="R312" s="57">
        <f ca="1">(R311-S311-T311)*(1+'Retirement Planning'!$J$23/12)</f>
        <v>857110.19883441017</v>
      </c>
      <c r="S312" s="58">
        <f t="shared" ca="1" si="127"/>
        <v>808.33333333333337</v>
      </c>
      <c r="T312" s="273">
        <f t="shared" ca="1" si="114"/>
        <v>3.1832314562052488E-12</v>
      </c>
      <c r="U312" s="57">
        <f ca="1">(U311-V311)*(1+'Retirement Planning'!$J$23/12)</f>
        <v>558819.16494806332</v>
      </c>
      <c r="V312" s="24">
        <f ca="1">IF(AND($B$10&lt;55,B312&lt;59.5),MIN(U312,MAX(0,(Y312+AA312+AJ312-G312)*'Retirement Planning'!$J$45)),IF(B312&lt;59.5,(MIN(U312,MAX(0,((Y312+AA312+AJ312)-G312-M312)*'Retirement Planning'!$J$45))),MIN(U312,MAX(0,(Y312+AA312+AJ312-G312-M312-K312-X312)*'Retirement Planning'!$J$45))))</f>
        <v>1386.7783596621659</v>
      </c>
      <c r="W312" s="7">
        <f t="shared" ca="1" si="115"/>
        <v>3479059.6734743095</v>
      </c>
      <c r="X312" s="7">
        <f>(IF(B312&gt;'Retirement Planning'!$J$34,IF('Retirement Planning'!$J$34=70,'Retirement Planning'!$J$37/12,IF('Retirement Planning'!$J$34=67,'Retirement Planning'!$J$36/12,'Retirement Planning'!$J$35/12)),0))*'Retirement Planning'!$J$38</f>
        <v>1213.6000000000001</v>
      </c>
      <c r="Y312" s="7">
        <f ca="1">'Retirement Planning'!$F$35*((1+'Retirement Planning'!$J$24)^(YEAR('Projected Retirement Drawdown'!C312)-YEAR(TODAY())))</f>
        <v>12268.85301971791</v>
      </c>
      <c r="Z312" s="7">
        <f ca="1">G312+M312+O312+0.85*X312+V312*'Retirement Planning'!$J$46+T312</f>
        <v>13432.981820083702</v>
      </c>
      <c r="AA312" s="7">
        <f ca="1">IF(MONTH(C312)=1,(((MIN(MAX(0,((SUM(Z300:Z311)-'Retirement Planning'!$I$53-'Retirement Planning'!$I$54)-'Retirement Planning'!$J$51)*'Retirement Planning'!$I$52))))+(MIN(MAX(0,((SUM(Z300:Z311)-'Retirement Planning'!$I$53-'Retirement Planning'!$I$54)-'Retirement Planning'!$J$50)*'Retirement Planning'!$I$51),('Retirement Planning'!$J$51-'Retirement Planning'!$J$50)*'Retirement Planning'!$I$51))+(MIN(MAX(0,((SUM(Z300:Z311)-'Retirement Planning'!$I$53-'Retirement Planning'!$I$54)-'Retirement Planning'!$J$49)*'Retirement Planning'!$I$50),('Retirement Planning'!$J$50-'Retirement Planning'!$J$49)*'Retirement Planning'!$I$50)+MIN(MAX(0,((SUM(Z300:Z311)-'Retirement Planning'!$I$53-'Retirement Planning'!$I$54)-'Retirement Planning'!$J$48)*'Retirement Planning'!$I$49),('Retirement Planning'!$J$49-'Retirement Planning'!$J$48)*'Retirement Planning'!$I$49)+MIN(((SUM(Z300:Z311)-'Retirement Planning'!$I$53-'Retirement Planning'!$I$54))*'Retirement Planning'!$I$48,('Retirement Planning'!$J$48)*'Retirement Planning'!$I$48))+(IF((SUM(Z300:Z311)-'Retirement Planning'!$I$54-'Retirement Planning'!$I$61)&gt;'Retirement Planning'!$J$59,(SUM(Z300:Z311)-'Retirement Planning'!$I$54-'Retirement Planning'!$I$61-'Retirement Planning'!$J$59)*'Retirement Planning'!$I$60+'Retirement Planning'!$K$59,IF((SUM(Z300:Z311)-'Retirement Planning'!$I$54-'Retirement Planning'!$I$61)&gt;'Retirement Planning'!$J$58,(SUM(Z300:Z311)-'Retirement Planning'!$I$54-'Retirement Planning'!$I$61-'Retirement Planning'!$J$58)*'Retirement Planning'!$I$59+'Retirement Planning'!$K$58,IF((SUM(Z300:Z311)-'Retirement Planning'!$I$54-'Retirement Planning'!$I$61)&gt;'Retirement Planning'!$J$57,(SUM(Z300:Z311)-'Retirement Planning'!$I$54-'Retirement Planning'!$I$61-'Retirement Planning'!$J$57)*'Retirement Planning'!$I$58+'Retirement Planning'!$K$57,IF((SUM(Z300:Z311)-'Retirement Planning'!$I$54-'Retirement Planning'!$I$61)&gt;'Retirement Planning'!$J$56,(SUM(Z300:Z311)-'Retirement Planning'!$I$54-'Retirement Planning'!$I$61-'Retirement Planning'!$J$56)*'Retirement Planning'!$I$57+'Retirement Planning'!$K$56,(SUM(Z300:Z311)-'Retirement Planning'!$I$54-'Retirement Planning'!$I$61)*'Retirement Planning'!$I$56))))))/12,AA311)</f>
        <v>3281.5096003679009</v>
      </c>
      <c r="AB312" s="104">
        <f t="shared" ca="1" si="134"/>
        <v>0.25345495673605672</v>
      </c>
      <c r="AC312" s="7">
        <f>IF(B312&lt;65,'Retirement Planning'!$J$28,0)</f>
        <v>0</v>
      </c>
      <c r="AD312" s="7">
        <f>IF(B312&lt;65,'Retirement Planning'!$J$29/12,0)</f>
        <v>0</v>
      </c>
      <c r="AE312" s="22">
        <f>'Retirement Planning'!$J$31/12</f>
        <v>58.333333333333336</v>
      </c>
      <c r="AF312" s="22">
        <f>'Retirement Planning'!$J$32/12</f>
        <v>66.666666666666671</v>
      </c>
      <c r="AG312" s="7">
        <f>IF($B312&gt;64.9,'Retirement Planning'!$J$39/12,0)</f>
        <v>183.33333333333334</v>
      </c>
      <c r="AH312" s="7">
        <f>IF($B312&gt;64.9,'Retirement Planning'!$J$40/12,0)</f>
        <v>258.33333333333331</v>
      </c>
      <c r="AI312" s="7">
        <f>IF($B312&gt;64.9,'Retirement Planning'!$J$41/12,0)</f>
        <v>558.33333333333337</v>
      </c>
      <c r="AJ312" s="7">
        <f t="shared" ca="1" si="116"/>
        <v>316.66666666666663</v>
      </c>
      <c r="AK312" s="3" t="str">
        <f t="shared" ca="1" si="117"/>
        <v>N/A</v>
      </c>
      <c r="AL312" s="6" t="str">
        <f t="shared" ca="1" si="118"/>
        <v>N/A</v>
      </c>
      <c r="AM312" s="7">
        <f t="shared" ca="1" si="119"/>
        <v>-6.8212102632969618E-13</v>
      </c>
      <c r="AN312" s="7">
        <f t="shared" ca="1" si="120"/>
        <v>16675.362620085813</v>
      </c>
      <c r="AO312" s="7">
        <f t="shared" si="121"/>
        <v>1125</v>
      </c>
    </row>
    <row r="313" spans="1:41" x14ac:dyDescent="0.2">
      <c r="A313">
        <f t="shared" si="122"/>
        <v>50</v>
      </c>
      <c r="B313" s="5">
        <f t="shared" si="123"/>
        <v>81.5</v>
      </c>
      <c r="C313" s="56">
        <f t="shared" si="124"/>
        <v>55640</v>
      </c>
      <c r="D313" s="57">
        <f ca="1">IF(AND(B312&lt;59.5,OR(B313&gt;59.5,B313=59.5)),(D312-E312+J312-K312)*(1+'Retirement Planning'!$J$23/12),(D312-E312)*(1+'Retirement Planning'!$J$23/12))</f>
        <v>683790.01318050094</v>
      </c>
      <c r="E313" s="58">
        <f t="shared" ca="1" si="111"/>
        <v>1627.9572048208029</v>
      </c>
      <c r="F313" s="57">
        <f ca="1">IF(AND(OR(B313&gt;59.5,B313=59.5),B312&lt;59.5),(F312-G312+L312-M312+N312-O312)*(1+'Retirement Planning'!$J$23/12),(F312-G312)*(1+'Retirement Planning'!$J$23/12))</f>
        <v>1380593.5131671613</v>
      </c>
      <c r="G313" s="58">
        <f ca="1">IF(AND($B$10&lt;55,B313&lt;59.5),'Retirement Planning'!$J$25,IF(OR(B313&gt;59.5,B313=59.5),MAX(0,MIN(F313,IF(D313&lt;2500,((Y313+AJ313+AA313))-X313,((Y313+AJ313+AA313)*'Retirement Planning'!$J$44)-X313))),0))</f>
        <v>11638.693722269507</v>
      </c>
      <c r="H313" s="255">
        <f ca="1">IF(MONTH(C313)=1,IF(B313&gt;69.5,F313/(INDEX('Retirement Planning'!D$1:D$264,(160+INT(B313))))/12,0),IF(F313=0,0,H312))</f>
        <v>11341.712469139873</v>
      </c>
      <c r="I313" s="262">
        <f t="shared" ca="1" si="112"/>
        <v>0</v>
      </c>
      <c r="J313" s="254">
        <f ca="1">IF(AND(B312&lt;59.5,OR(B313=59.5,B313&gt;59.5)),0,(J312-K312)*(1+'Retirement Planning'!$J$23/12))</f>
        <v>0</v>
      </c>
      <c r="K313" s="58">
        <f t="shared" ca="1" si="113"/>
        <v>0</v>
      </c>
      <c r="L313" s="57">
        <f>IF(AND(OR(B313&gt;59.5,B313=59.5),B312&lt;59.5),0,(L312-M312)*(1+'Retirement Planning'!$J$23/12))</f>
        <v>0</v>
      </c>
      <c r="M313" s="59">
        <f>IF(AND($B$10&lt;55,B313&lt;59.5),0,IF(B313&lt;59.5,MAX(0,MIN((($Y313+$AJ313+AA313)*'Retirement Planning'!$J$44)-$G313-$X313,L313)),0))</f>
        <v>0</v>
      </c>
      <c r="N313" s="57">
        <f ca="1">(N312-O312)*(1+'Retirement Planning'!$J$23/12)</f>
        <v>0</v>
      </c>
      <c r="O313" s="59">
        <f ca="1">IF(B313&gt;59.5,MAX(0,MIN((AA313+$Y313+$AJ313)*(IF(D313&lt;(MIN(E301:E312)+1),1,'Retirement Planning'!$J$44))-M313-$G313-$X313-(IF(D313&lt;(MIN(E301:E312)+1),D313,0)),N313)),0)</f>
        <v>0</v>
      </c>
      <c r="P313" s="57">
        <f t="shared" si="125"/>
        <v>0</v>
      </c>
      <c r="Q313" s="58">
        <f t="shared" si="126"/>
        <v>0</v>
      </c>
      <c r="R313" s="57">
        <f ca="1">(R312-S312-T312)*(1+'Retirement Planning'!$J$23/12)</f>
        <v>862367.3370483761</v>
      </c>
      <c r="S313" s="58">
        <f t="shared" ca="1" si="127"/>
        <v>808.33333333333337</v>
      </c>
      <c r="T313" s="273">
        <f t="shared" ca="1" si="114"/>
        <v>3.1832314562052488E-12</v>
      </c>
      <c r="U313" s="57">
        <f ca="1">(U312-V312)*(1+'Retirement Planning'!$J$23/12)</f>
        <v>561380.86599340232</v>
      </c>
      <c r="V313" s="24">
        <f ca="1">IF(AND($B$10&lt;55,B313&lt;59.5),MIN(U313,MAX(0,(Y313+AA313+AJ313-G313)*'Retirement Planning'!$J$45)),IF(B313&lt;59.5,(MIN(U313,MAX(0,((Y313+AA313+AJ313)-G313-M313)*'Retirement Planning'!$J$45))),MIN(U313,MAX(0,(Y313+AA313+AJ313-G313-M313-K313-X313)*'Retirement Planning'!$J$45))))</f>
        <v>1386.7783596621659</v>
      </c>
      <c r="W313" s="7">
        <f t="shared" ca="1" si="115"/>
        <v>3488131.7293894407</v>
      </c>
      <c r="X313" s="7">
        <f>(IF(B313&gt;'Retirement Planning'!$J$34,IF('Retirement Planning'!$J$34=70,'Retirement Planning'!$J$37/12,IF('Retirement Planning'!$J$34=67,'Retirement Planning'!$J$36/12,'Retirement Planning'!$J$35/12)),0))*'Retirement Planning'!$J$38</f>
        <v>1213.6000000000001</v>
      </c>
      <c r="Y313" s="7">
        <f ca="1">'Retirement Planning'!$F$35*((1+'Retirement Planning'!$J$24)^(YEAR('Projected Retirement Drawdown'!C313)-YEAR(TODAY())))</f>
        <v>12268.85301971791</v>
      </c>
      <c r="Z313" s="7">
        <f ca="1">G313+M313+O313+0.85*X313+V313*'Retirement Planning'!$J$46+T313</f>
        <v>13432.981820083702</v>
      </c>
      <c r="AA313" s="7">
        <f ca="1">IF(MONTH(C313)=1,(((MIN(MAX(0,((SUM(Z301:Z312)-'Retirement Planning'!$I$53-'Retirement Planning'!$I$54)-'Retirement Planning'!$J$51)*'Retirement Planning'!$I$52))))+(MIN(MAX(0,((SUM(Z301:Z312)-'Retirement Planning'!$I$53-'Retirement Planning'!$I$54)-'Retirement Planning'!$J$50)*'Retirement Planning'!$I$51),('Retirement Planning'!$J$51-'Retirement Planning'!$J$50)*'Retirement Planning'!$I$51))+(MIN(MAX(0,((SUM(Z301:Z312)-'Retirement Planning'!$I$53-'Retirement Planning'!$I$54)-'Retirement Planning'!$J$49)*'Retirement Planning'!$I$50),('Retirement Planning'!$J$50-'Retirement Planning'!$J$49)*'Retirement Planning'!$I$50)+MIN(MAX(0,((SUM(Z301:Z312)-'Retirement Planning'!$I$53-'Retirement Planning'!$I$54)-'Retirement Planning'!$J$48)*'Retirement Planning'!$I$49),('Retirement Planning'!$J$49-'Retirement Planning'!$J$48)*'Retirement Planning'!$I$49)+MIN(((SUM(Z301:Z312)-'Retirement Planning'!$I$53-'Retirement Planning'!$I$54))*'Retirement Planning'!$I$48,('Retirement Planning'!$J$48)*'Retirement Planning'!$I$48))+(IF((SUM(Z301:Z312)-'Retirement Planning'!$I$54-'Retirement Planning'!$I$61)&gt;'Retirement Planning'!$J$59,(SUM(Z301:Z312)-'Retirement Planning'!$I$54-'Retirement Planning'!$I$61-'Retirement Planning'!$J$59)*'Retirement Planning'!$I$60+'Retirement Planning'!$K$59,IF((SUM(Z301:Z312)-'Retirement Planning'!$I$54-'Retirement Planning'!$I$61)&gt;'Retirement Planning'!$J$58,(SUM(Z301:Z312)-'Retirement Planning'!$I$54-'Retirement Planning'!$I$61-'Retirement Planning'!$J$58)*'Retirement Planning'!$I$59+'Retirement Planning'!$K$58,IF((SUM(Z301:Z312)-'Retirement Planning'!$I$54-'Retirement Planning'!$I$61)&gt;'Retirement Planning'!$J$57,(SUM(Z301:Z312)-'Retirement Planning'!$I$54-'Retirement Planning'!$I$61-'Retirement Planning'!$J$57)*'Retirement Planning'!$I$58+'Retirement Planning'!$K$57,IF((SUM(Z301:Z312)-'Retirement Planning'!$I$54-'Retirement Planning'!$I$61)&gt;'Retirement Planning'!$J$56,(SUM(Z301:Z312)-'Retirement Planning'!$I$54-'Retirement Planning'!$I$61-'Retirement Planning'!$J$56)*'Retirement Planning'!$I$57+'Retirement Planning'!$K$56,(SUM(Z301:Z312)-'Retirement Planning'!$I$54-'Retirement Planning'!$I$61)*'Retirement Planning'!$I$56))))))/12,AA312)</f>
        <v>3281.5096003679009</v>
      </c>
      <c r="AB313" s="104">
        <f t="shared" ca="1" si="134"/>
        <v>0.25345495673605672</v>
      </c>
      <c r="AC313" s="7">
        <f>IF(B313&lt;65,'Retirement Planning'!$J$28,0)</f>
        <v>0</v>
      </c>
      <c r="AD313" s="7">
        <f>IF(B313&lt;65,'Retirement Planning'!$J$29/12,0)</f>
        <v>0</v>
      </c>
      <c r="AE313" s="22">
        <f>'Retirement Planning'!$J$31/12</f>
        <v>58.333333333333336</v>
      </c>
      <c r="AF313" s="22">
        <f>'Retirement Planning'!$J$32/12</f>
        <v>66.666666666666671</v>
      </c>
      <c r="AG313" s="7">
        <f>IF($B313&gt;64.9,'Retirement Planning'!$J$39/12,0)</f>
        <v>183.33333333333334</v>
      </c>
      <c r="AH313" s="7">
        <f>IF($B313&gt;64.9,'Retirement Planning'!$J$40/12,0)</f>
        <v>258.33333333333331</v>
      </c>
      <c r="AI313" s="7">
        <f>IF($B313&gt;64.9,'Retirement Planning'!$J$41/12,0)</f>
        <v>558.33333333333337</v>
      </c>
      <c r="AJ313" s="7">
        <f t="shared" ca="1" si="116"/>
        <v>316.66666666666663</v>
      </c>
      <c r="AK313" s="3" t="str">
        <f t="shared" ca="1" si="117"/>
        <v>N/A</v>
      </c>
      <c r="AL313" s="6" t="str">
        <f t="shared" ca="1" si="118"/>
        <v>N/A</v>
      </c>
      <c r="AM313" s="7">
        <f t="shared" ca="1" si="119"/>
        <v>-6.8212102632969618E-13</v>
      </c>
      <c r="AN313" s="7">
        <f t="shared" ca="1" si="120"/>
        <v>16675.362620085813</v>
      </c>
      <c r="AO313" s="7">
        <f t="shared" si="121"/>
        <v>1125</v>
      </c>
    </row>
    <row r="314" spans="1:41" x14ac:dyDescent="0.2">
      <c r="A314">
        <f t="shared" si="122"/>
        <v>50</v>
      </c>
      <c r="B314" s="5">
        <f t="shared" si="123"/>
        <v>81.599999999999994</v>
      </c>
      <c r="C314" s="56">
        <f t="shared" si="124"/>
        <v>55671</v>
      </c>
      <c r="D314" s="57">
        <f ca="1">IF(AND(B313&lt;59.5,OR(B314&gt;59.5,B314=59.5)),(D313-E313+J313-K313)*(1+'Retirement Planning'!$J$23/12),(D313-E313)*(1+'Retirement Planning'!$J$23/12))</f>
        <v>686994.03720550786</v>
      </c>
      <c r="E314" s="58">
        <f t="shared" ca="1" si="111"/>
        <v>1627.9572048208029</v>
      </c>
      <c r="F314" s="57">
        <f ca="1">IF(AND(OR(B314&gt;59.5,B314=59.5),B313&lt;59.5),(F313-G313+L313-M313+N313-O313)*(1+'Retirement Planning'!$J$23/12),(F313-G313)*(1+'Retirement Planning'!$J$23/12))</f>
        <v>1378651.5827492932</v>
      </c>
      <c r="G314" s="58">
        <f ca="1">IF(AND($B$10&lt;55,B314&lt;59.5),'Retirement Planning'!$J$25,IF(OR(B314&gt;59.5,B314=59.5),MAX(0,MIN(F314,IF(D314&lt;2500,((Y314+AJ314+AA314))-X314,((Y314+AJ314+AA314)*'Retirement Planning'!$J$44)-X314))),0))</f>
        <v>11638.693722269507</v>
      </c>
      <c r="H314" s="255">
        <f ca="1">IF(MONTH(C314)=1,IF(B314&gt;69.5,F314/(INDEX('Retirement Planning'!D$1:D$264,(160+INT(B314))))/12,0),IF(F314=0,0,H313))</f>
        <v>11341.712469139873</v>
      </c>
      <c r="I314" s="262">
        <f t="shared" ca="1" si="112"/>
        <v>0</v>
      </c>
      <c r="J314" s="254">
        <f ca="1">IF(AND(B313&lt;59.5,OR(B314=59.5,B314&gt;59.5)),0,(J313-K313)*(1+'Retirement Planning'!$J$23/12))</f>
        <v>0</v>
      </c>
      <c r="K314" s="58">
        <f t="shared" ca="1" si="113"/>
        <v>0</v>
      </c>
      <c r="L314" s="57">
        <f>IF(AND(OR(B314&gt;59.5,B314=59.5),B313&lt;59.5),0,(L313-M313)*(1+'Retirement Planning'!$J$23/12))</f>
        <v>0</v>
      </c>
      <c r="M314" s="59">
        <f>IF(AND($B$10&lt;55,B314&lt;59.5),0,IF(B314&lt;59.5,MAX(0,MIN((($Y314+$AJ314+AA314)*'Retirement Planning'!$J$44)-$G314-$X314,L314)),0))</f>
        <v>0</v>
      </c>
      <c r="N314" s="57">
        <f ca="1">(N313-O313)*(1+'Retirement Planning'!$J$23/12)</f>
        <v>0</v>
      </c>
      <c r="O314" s="59">
        <f ca="1">IF(B314&gt;59.5,MAX(0,MIN((AA314+$Y314+$AJ314)*(IF(D314&lt;(MIN(E302:E313)+1),1,'Retirement Planning'!$J$44))-M314-$G314-$X314-(IF(D314&lt;(MIN(E302:E313)+1),D314,0)),N314)),0)</f>
        <v>0</v>
      </c>
      <c r="P314" s="57">
        <f t="shared" si="125"/>
        <v>0</v>
      </c>
      <c r="Q314" s="58">
        <f t="shared" si="126"/>
        <v>0</v>
      </c>
      <c r="R314" s="57">
        <f ca="1">(R313-S313-T313)*(1+'Retirement Planning'!$J$23/12)</f>
        <v>867661.71332469094</v>
      </c>
      <c r="S314" s="58">
        <f t="shared" ca="1" si="127"/>
        <v>808.33333333333337</v>
      </c>
      <c r="T314" s="273">
        <f t="shared" ca="1" si="114"/>
        <v>3.1832314562052488E-12</v>
      </c>
      <c r="U314" s="57">
        <f ca="1">(U313-V313)*(1+'Retirement Planning'!$J$23/12)</f>
        <v>563960.71242114587</v>
      </c>
      <c r="V314" s="24">
        <f ca="1">IF(AND($B$10&lt;55,B314&lt;59.5),MIN(U314,MAX(0,(Y314+AA314+AJ314-G314)*'Retirement Planning'!$J$45)),IF(B314&lt;59.5,(MIN(U314,MAX(0,((Y314+AA314+AJ314)-G314-M314)*'Retirement Planning'!$J$45))),MIN(U314,MAX(0,(Y314+AA314+AJ314-G314-M314-K314-X314)*'Retirement Planning'!$J$45))))</f>
        <v>1386.7783596621659</v>
      </c>
      <c r="W314" s="7">
        <f t="shared" ca="1" si="115"/>
        <v>3497268.0457006381</v>
      </c>
      <c r="X314" s="7">
        <f>(IF(B314&gt;'Retirement Planning'!$J$34,IF('Retirement Planning'!$J$34=70,'Retirement Planning'!$J$37/12,IF('Retirement Planning'!$J$34=67,'Retirement Planning'!$J$36/12,'Retirement Planning'!$J$35/12)),0))*'Retirement Planning'!$J$38</f>
        <v>1213.6000000000001</v>
      </c>
      <c r="Y314" s="7">
        <f ca="1">'Retirement Planning'!$F$35*((1+'Retirement Planning'!$J$24)^(YEAR('Projected Retirement Drawdown'!C314)-YEAR(TODAY())))</f>
        <v>12268.85301971791</v>
      </c>
      <c r="Z314" s="7">
        <f ca="1">G314+M314+O314+0.85*X314+V314*'Retirement Planning'!$J$46+T314</f>
        <v>13432.981820083702</v>
      </c>
      <c r="AA314" s="7">
        <f ca="1">IF(MONTH(C314)=1,(((MIN(MAX(0,((SUM(Z302:Z313)-'Retirement Planning'!$I$53-'Retirement Planning'!$I$54)-'Retirement Planning'!$J$51)*'Retirement Planning'!$I$52))))+(MIN(MAX(0,((SUM(Z302:Z313)-'Retirement Planning'!$I$53-'Retirement Planning'!$I$54)-'Retirement Planning'!$J$50)*'Retirement Planning'!$I$51),('Retirement Planning'!$J$51-'Retirement Planning'!$J$50)*'Retirement Planning'!$I$51))+(MIN(MAX(0,((SUM(Z302:Z313)-'Retirement Planning'!$I$53-'Retirement Planning'!$I$54)-'Retirement Planning'!$J$49)*'Retirement Planning'!$I$50),('Retirement Planning'!$J$50-'Retirement Planning'!$J$49)*'Retirement Planning'!$I$50)+MIN(MAX(0,((SUM(Z302:Z313)-'Retirement Planning'!$I$53-'Retirement Planning'!$I$54)-'Retirement Planning'!$J$48)*'Retirement Planning'!$I$49),('Retirement Planning'!$J$49-'Retirement Planning'!$J$48)*'Retirement Planning'!$I$49)+MIN(((SUM(Z302:Z313)-'Retirement Planning'!$I$53-'Retirement Planning'!$I$54))*'Retirement Planning'!$I$48,('Retirement Planning'!$J$48)*'Retirement Planning'!$I$48))+(IF((SUM(Z302:Z313)-'Retirement Planning'!$I$54-'Retirement Planning'!$I$61)&gt;'Retirement Planning'!$J$59,(SUM(Z302:Z313)-'Retirement Planning'!$I$54-'Retirement Planning'!$I$61-'Retirement Planning'!$J$59)*'Retirement Planning'!$I$60+'Retirement Planning'!$K$59,IF((SUM(Z302:Z313)-'Retirement Planning'!$I$54-'Retirement Planning'!$I$61)&gt;'Retirement Planning'!$J$58,(SUM(Z302:Z313)-'Retirement Planning'!$I$54-'Retirement Planning'!$I$61-'Retirement Planning'!$J$58)*'Retirement Planning'!$I$59+'Retirement Planning'!$K$58,IF((SUM(Z302:Z313)-'Retirement Planning'!$I$54-'Retirement Planning'!$I$61)&gt;'Retirement Planning'!$J$57,(SUM(Z302:Z313)-'Retirement Planning'!$I$54-'Retirement Planning'!$I$61-'Retirement Planning'!$J$57)*'Retirement Planning'!$I$58+'Retirement Planning'!$K$57,IF((SUM(Z302:Z313)-'Retirement Planning'!$I$54-'Retirement Planning'!$I$61)&gt;'Retirement Planning'!$J$56,(SUM(Z302:Z313)-'Retirement Planning'!$I$54-'Retirement Planning'!$I$61-'Retirement Planning'!$J$56)*'Retirement Planning'!$I$57+'Retirement Planning'!$K$56,(SUM(Z302:Z313)-'Retirement Planning'!$I$54-'Retirement Planning'!$I$61)*'Retirement Planning'!$I$56))))))/12,AA313)</f>
        <v>3281.5096003679009</v>
      </c>
      <c r="AB314" s="104">
        <f t="shared" ca="1" si="134"/>
        <v>0.25345495673605672</v>
      </c>
      <c r="AC314" s="7">
        <f>IF(B314&lt;65,'Retirement Planning'!$J$28,0)</f>
        <v>0</v>
      </c>
      <c r="AD314" s="7">
        <f>IF(B314&lt;65,'Retirement Planning'!$J$29/12,0)</f>
        <v>0</v>
      </c>
      <c r="AE314" s="22">
        <f>'Retirement Planning'!$J$31/12</f>
        <v>58.333333333333336</v>
      </c>
      <c r="AF314" s="22">
        <f>'Retirement Planning'!$J$32/12</f>
        <v>66.666666666666671</v>
      </c>
      <c r="AG314" s="7">
        <f>IF($B314&gt;64.9,'Retirement Planning'!$J$39/12,0)</f>
        <v>183.33333333333334</v>
      </c>
      <c r="AH314" s="7">
        <f>IF($B314&gt;64.9,'Retirement Planning'!$J$40/12,0)</f>
        <v>258.33333333333331</v>
      </c>
      <c r="AI314" s="7">
        <f>IF($B314&gt;64.9,'Retirement Planning'!$J$41/12,0)</f>
        <v>558.33333333333337</v>
      </c>
      <c r="AJ314" s="7">
        <f t="shared" ca="1" si="116"/>
        <v>316.66666666666663</v>
      </c>
      <c r="AK314" s="3" t="str">
        <f t="shared" ca="1" si="117"/>
        <v>N/A</v>
      </c>
      <c r="AL314" s="6" t="str">
        <f t="shared" ca="1" si="118"/>
        <v>N/A</v>
      </c>
      <c r="AM314" s="7">
        <f t="shared" ca="1" si="119"/>
        <v>-6.8212102632969618E-13</v>
      </c>
      <c r="AN314" s="7">
        <f t="shared" ca="1" si="120"/>
        <v>16675.362620085813</v>
      </c>
      <c r="AO314" s="7">
        <f t="shared" si="121"/>
        <v>1125</v>
      </c>
    </row>
    <row r="315" spans="1:41" x14ac:dyDescent="0.2">
      <c r="A315">
        <f t="shared" si="122"/>
        <v>50</v>
      </c>
      <c r="B315" s="5">
        <f t="shared" si="123"/>
        <v>81.7</v>
      </c>
      <c r="C315" s="56">
        <f t="shared" si="124"/>
        <v>55701</v>
      </c>
      <c r="D315" s="57">
        <f ca="1">IF(AND(B314&lt;59.5,OR(B315&gt;59.5,B315=59.5)),(D314-E314+J314-K314)*(1+'Retirement Planning'!$J$23/12),(D314-E314)*(1+'Retirement Planning'!$J$23/12))</f>
        <v>690220.75640069193</v>
      </c>
      <c r="E315" s="58">
        <f t="shared" ca="1" si="111"/>
        <v>1627.9572048208029</v>
      </c>
      <c r="F315" s="57">
        <f ca="1">IF(AND(OR(B315&gt;59.5,B315=59.5),B314&lt;59.5),(F314-G314+L314-M314+N314-O314)*(1+'Retirement Planning'!$J$23/12),(F314-G314)*(1+'Retirement Planning'!$J$23/12))</f>
        <v>1376695.8969909651</v>
      </c>
      <c r="G315" s="58">
        <f ca="1">IF(AND($B$10&lt;55,B315&lt;59.5),'Retirement Planning'!$J$25,IF(OR(B315&gt;59.5,B315=59.5),MAX(0,MIN(F315,IF(D315&lt;2500,((Y315+AJ315+AA315))-X315,((Y315+AJ315+AA315)*'Retirement Planning'!$J$44)-X315))),0))</f>
        <v>11638.693722269507</v>
      </c>
      <c r="H315" s="255">
        <f ca="1">IF(MONTH(C315)=1,IF(B315&gt;69.5,F315/(INDEX('Retirement Planning'!D$1:D$264,(160+INT(B315))))/12,0),IF(F315=0,0,H314))</f>
        <v>11341.712469139873</v>
      </c>
      <c r="I315" s="262">
        <f t="shared" ca="1" si="112"/>
        <v>0</v>
      </c>
      <c r="J315" s="254">
        <f ca="1">IF(AND(B314&lt;59.5,OR(B315=59.5,B315&gt;59.5)),0,(J314-K314)*(1+'Retirement Planning'!$J$23/12))</f>
        <v>0</v>
      </c>
      <c r="K315" s="58">
        <f t="shared" ca="1" si="113"/>
        <v>0</v>
      </c>
      <c r="L315" s="57">
        <f>IF(AND(OR(B315&gt;59.5,B315=59.5),B314&lt;59.5),0,(L314-M314)*(1+'Retirement Planning'!$J$23/12))</f>
        <v>0</v>
      </c>
      <c r="M315" s="59">
        <f>IF(AND($B$10&lt;55,B315&lt;59.5),0,IF(B315&lt;59.5,MAX(0,MIN((($Y315+$AJ315+AA315)*'Retirement Planning'!$J$44)-$G315-$X315,L315)),0))</f>
        <v>0</v>
      </c>
      <c r="N315" s="57">
        <f ca="1">(N314-O314)*(1+'Retirement Planning'!$J$23/12)</f>
        <v>0</v>
      </c>
      <c r="O315" s="59">
        <f ca="1">IF(B315&gt;59.5,MAX(0,MIN((AA315+$Y315+$AJ315)*(IF(D315&lt;(MIN(E303:E314)+1),1,'Retirement Planning'!$J$44))-M315-$G315-$X315-(IF(D315&lt;(MIN(E303:E314)+1),D315,0)),N315)),0)</f>
        <v>0</v>
      </c>
      <c r="P315" s="57">
        <f t="shared" si="125"/>
        <v>0</v>
      </c>
      <c r="Q315" s="58">
        <f t="shared" si="126"/>
        <v>0</v>
      </c>
      <c r="R315" s="57">
        <f ca="1">(R314-S314-T314)*(1+'Retirement Planning'!$J$23/12)</f>
        <v>872993.59143296303</v>
      </c>
      <c r="S315" s="58">
        <f t="shared" ca="1" si="127"/>
        <v>808.33333333333337</v>
      </c>
      <c r="T315" s="273">
        <f t="shared" ca="1" si="114"/>
        <v>3.1832314562052488E-12</v>
      </c>
      <c r="U315" s="57">
        <f ca="1">(U314-V314)*(1+'Retirement Planning'!$J$23/12)</f>
        <v>566558.83276108594</v>
      </c>
      <c r="V315" s="24">
        <f ca="1">IF(AND($B$10&lt;55,B315&lt;59.5),MIN(U315,MAX(0,(Y315+AA315+AJ315-G315)*'Retirement Planning'!$J$45)),IF(B315&lt;59.5,(MIN(U315,MAX(0,((Y315+AA315+AJ315)-G315-M315)*'Retirement Planning'!$J$45))),MIN(U315,MAX(0,(Y315+AA315+AJ315-G315-M315-K315-X315)*'Retirement Planning'!$J$45))))</f>
        <v>1386.7783596621659</v>
      </c>
      <c r="W315" s="7">
        <f t="shared" ca="1" si="115"/>
        <v>3506469.077585706</v>
      </c>
      <c r="X315" s="7">
        <f>(IF(B315&gt;'Retirement Planning'!$J$34,IF('Retirement Planning'!$J$34=70,'Retirement Planning'!$J$37/12,IF('Retirement Planning'!$J$34=67,'Retirement Planning'!$J$36/12,'Retirement Planning'!$J$35/12)),0))*'Retirement Planning'!$J$38</f>
        <v>1213.6000000000001</v>
      </c>
      <c r="Y315" s="7">
        <f ca="1">'Retirement Planning'!$F$35*((1+'Retirement Planning'!$J$24)^(YEAR('Projected Retirement Drawdown'!C315)-YEAR(TODAY())))</f>
        <v>12268.85301971791</v>
      </c>
      <c r="Z315" s="7">
        <f ca="1">G315+M315+O315+0.85*X315+V315*'Retirement Planning'!$J$46+T315</f>
        <v>13432.981820083702</v>
      </c>
      <c r="AA315" s="7">
        <f ca="1">IF(MONTH(C315)=1,(((MIN(MAX(0,((SUM(Z303:Z314)-'Retirement Planning'!$I$53-'Retirement Planning'!$I$54)-'Retirement Planning'!$J$51)*'Retirement Planning'!$I$52))))+(MIN(MAX(0,((SUM(Z303:Z314)-'Retirement Planning'!$I$53-'Retirement Planning'!$I$54)-'Retirement Planning'!$J$50)*'Retirement Planning'!$I$51),('Retirement Planning'!$J$51-'Retirement Planning'!$J$50)*'Retirement Planning'!$I$51))+(MIN(MAX(0,((SUM(Z303:Z314)-'Retirement Planning'!$I$53-'Retirement Planning'!$I$54)-'Retirement Planning'!$J$49)*'Retirement Planning'!$I$50),('Retirement Planning'!$J$50-'Retirement Planning'!$J$49)*'Retirement Planning'!$I$50)+MIN(MAX(0,((SUM(Z303:Z314)-'Retirement Planning'!$I$53-'Retirement Planning'!$I$54)-'Retirement Planning'!$J$48)*'Retirement Planning'!$I$49),('Retirement Planning'!$J$49-'Retirement Planning'!$J$48)*'Retirement Planning'!$I$49)+MIN(((SUM(Z303:Z314)-'Retirement Planning'!$I$53-'Retirement Planning'!$I$54))*'Retirement Planning'!$I$48,('Retirement Planning'!$J$48)*'Retirement Planning'!$I$48))+(IF((SUM(Z303:Z314)-'Retirement Planning'!$I$54-'Retirement Planning'!$I$61)&gt;'Retirement Planning'!$J$59,(SUM(Z303:Z314)-'Retirement Planning'!$I$54-'Retirement Planning'!$I$61-'Retirement Planning'!$J$59)*'Retirement Planning'!$I$60+'Retirement Planning'!$K$59,IF((SUM(Z303:Z314)-'Retirement Planning'!$I$54-'Retirement Planning'!$I$61)&gt;'Retirement Planning'!$J$58,(SUM(Z303:Z314)-'Retirement Planning'!$I$54-'Retirement Planning'!$I$61-'Retirement Planning'!$J$58)*'Retirement Planning'!$I$59+'Retirement Planning'!$K$58,IF((SUM(Z303:Z314)-'Retirement Planning'!$I$54-'Retirement Planning'!$I$61)&gt;'Retirement Planning'!$J$57,(SUM(Z303:Z314)-'Retirement Planning'!$I$54-'Retirement Planning'!$I$61-'Retirement Planning'!$J$57)*'Retirement Planning'!$I$58+'Retirement Planning'!$K$57,IF((SUM(Z303:Z314)-'Retirement Planning'!$I$54-'Retirement Planning'!$I$61)&gt;'Retirement Planning'!$J$56,(SUM(Z303:Z314)-'Retirement Planning'!$I$54-'Retirement Planning'!$I$61-'Retirement Planning'!$J$56)*'Retirement Planning'!$I$57+'Retirement Planning'!$K$56,(SUM(Z303:Z314)-'Retirement Planning'!$I$54-'Retirement Planning'!$I$61)*'Retirement Planning'!$I$56))))))/12,AA314)</f>
        <v>3281.5096003679009</v>
      </c>
      <c r="AB315" s="104">
        <f t="shared" ca="1" si="134"/>
        <v>0.25345495673605672</v>
      </c>
      <c r="AC315" s="7">
        <f>IF(B315&lt;65,'Retirement Planning'!$J$28,0)</f>
        <v>0</v>
      </c>
      <c r="AD315" s="7">
        <f>IF(B315&lt;65,'Retirement Planning'!$J$29/12,0)</f>
        <v>0</v>
      </c>
      <c r="AE315" s="22">
        <f>'Retirement Planning'!$J$31/12</f>
        <v>58.333333333333336</v>
      </c>
      <c r="AF315" s="22">
        <f>'Retirement Planning'!$J$32/12</f>
        <v>66.666666666666671</v>
      </c>
      <c r="AG315" s="7">
        <f>IF($B315&gt;64.9,'Retirement Planning'!$J$39/12,0)</f>
        <v>183.33333333333334</v>
      </c>
      <c r="AH315" s="7">
        <f>IF($B315&gt;64.9,'Retirement Planning'!$J$40/12,0)</f>
        <v>258.33333333333331</v>
      </c>
      <c r="AI315" s="7">
        <f>IF($B315&gt;64.9,'Retirement Planning'!$J$41/12,0)</f>
        <v>558.33333333333337</v>
      </c>
      <c r="AJ315" s="7">
        <f t="shared" ca="1" si="116"/>
        <v>316.66666666666663</v>
      </c>
      <c r="AK315" s="3" t="str">
        <f t="shared" ca="1" si="117"/>
        <v>N/A</v>
      </c>
      <c r="AL315" s="6" t="str">
        <f t="shared" ca="1" si="118"/>
        <v>N/A</v>
      </c>
      <c r="AM315" s="7">
        <f t="shared" ca="1" si="119"/>
        <v>-6.8212102632969618E-13</v>
      </c>
      <c r="AN315" s="7">
        <f t="shared" ca="1" si="120"/>
        <v>16675.362620085813</v>
      </c>
      <c r="AO315" s="7">
        <f t="shared" si="121"/>
        <v>1125</v>
      </c>
    </row>
    <row r="316" spans="1:41" x14ac:dyDescent="0.2">
      <c r="A316">
        <f t="shared" si="122"/>
        <v>50</v>
      </c>
      <c r="B316" s="5">
        <f t="shared" si="123"/>
        <v>81.8</v>
      </c>
      <c r="C316" s="56">
        <f t="shared" si="124"/>
        <v>55732</v>
      </c>
      <c r="D316" s="57">
        <f ca="1">IF(AND(B315&lt;59.5,OR(B316&gt;59.5,B316=59.5)),(D315-E315+J315-K315)*(1+'Retirement Planning'!$J$23/12),(D315-E315)*(1+'Retirement Planning'!$J$23/12))</f>
        <v>693470.33152350853</v>
      </c>
      <c r="E316" s="58">
        <f t="shared" ca="1" si="111"/>
        <v>1627.9572048208029</v>
      </c>
      <c r="F316" s="57">
        <f ca="1">IF(AND(OR(B316&gt;59.5,B316=59.5),B315&lt;59.5),(F315-G315+L315-M315+N315-O315)*(1+'Retirement Planning'!$J$23/12),(F315-G315)*(1+'Retirement Planning'!$J$23/12))</f>
        <v>1374726.3584585155</v>
      </c>
      <c r="G316" s="58">
        <f ca="1">IF(AND($B$10&lt;55,B316&lt;59.5),'Retirement Planning'!$J$25,IF(OR(B316&gt;59.5,B316=59.5),MAX(0,MIN(F316,IF(D316&lt;2500,((Y316+AJ316+AA316))-X316,((Y316+AJ316+AA316)*'Retirement Planning'!$J$44)-X316))),0))</f>
        <v>11638.693722269507</v>
      </c>
      <c r="H316" s="255">
        <f ca="1">IF(MONTH(C316)=1,IF(B316&gt;69.5,F316/(INDEX('Retirement Planning'!D$1:D$264,(160+INT(B316))))/12,0),IF(F316=0,0,H315))</f>
        <v>11341.712469139873</v>
      </c>
      <c r="I316" s="262">
        <f t="shared" ca="1" si="112"/>
        <v>0</v>
      </c>
      <c r="J316" s="254">
        <f ca="1">IF(AND(B315&lt;59.5,OR(B316=59.5,B316&gt;59.5)),0,(J315-K315)*(1+'Retirement Planning'!$J$23/12))</f>
        <v>0</v>
      </c>
      <c r="K316" s="58">
        <f t="shared" ca="1" si="113"/>
        <v>0</v>
      </c>
      <c r="L316" s="57">
        <f>IF(AND(OR(B316&gt;59.5,B316=59.5),B315&lt;59.5),0,(L315-M315)*(1+'Retirement Planning'!$J$23/12))</f>
        <v>0</v>
      </c>
      <c r="M316" s="59">
        <f>IF(AND($B$10&lt;55,B316&lt;59.5),0,IF(B316&lt;59.5,MAX(0,MIN((($Y316+$AJ316+AA316)*'Retirement Planning'!$J$44)-$G316-$X316,L316)),0))</f>
        <v>0</v>
      </c>
      <c r="N316" s="57">
        <f ca="1">(N315-O315)*(1+'Retirement Planning'!$J$23/12)</f>
        <v>0</v>
      </c>
      <c r="O316" s="59">
        <f ca="1">IF(B316&gt;59.5,MAX(0,MIN((AA316+$Y316+$AJ316)*(IF(D316&lt;(MIN(E304:E315)+1),1,'Retirement Planning'!$J$44))-M316-$G316-$X316-(IF(D316&lt;(MIN(E304:E315)+1),D316,0)),N316)),0)</f>
        <v>0</v>
      </c>
      <c r="P316" s="57">
        <f t="shared" si="125"/>
        <v>0</v>
      </c>
      <c r="Q316" s="58">
        <f t="shared" si="126"/>
        <v>0</v>
      </c>
      <c r="R316" s="57">
        <f ca="1">(R315-S315-T315)*(1+'Retirement Planning'!$J$23/12)</f>
        <v>878363.23701116873</v>
      </c>
      <c r="S316" s="58">
        <f t="shared" ca="1" si="127"/>
        <v>808.33333333333337</v>
      </c>
      <c r="T316" s="273">
        <f t="shared" ca="1" si="114"/>
        <v>3.1832314562052488E-12</v>
      </c>
      <c r="U316" s="57">
        <f ca="1">(U315-V315)*(1+'Retirement Planning'!$J$23/12)</f>
        <v>569175.35645343387</v>
      </c>
      <c r="V316" s="24">
        <f ca="1">IF(AND($B$10&lt;55,B316&lt;59.5),MIN(U316,MAX(0,(Y316+AA316+AJ316-G316)*'Retirement Planning'!$J$45)),IF(B316&lt;59.5,(MIN(U316,MAX(0,((Y316+AA316+AJ316)-G316-M316)*'Retirement Planning'!$J$45))),MIN(U316,MAX(0,(Y316+AA316+AJ316-G316-M316-K316-X316)*'Retirement Planning'!$J$45))))</f>
        <v>1386.7783596621659</v>
      </c>
      <c r="W316" s="7">
        <f t="shared" ca="1" si="115"/>
        <v>3515735.2834466267</v>
      </c>
      <c r="X316" s="7">
        <f>(IF(B316&gt;'Retirement Planning'!$J$34,IF('Retirement Planning'!$J$34=70,'Retirement Planning'!$J$37/12,IF('Retirement Planning'!$J$34=67,'Retirement Planning'!$J$36/12,'Retirement Planning'!$J$35/12)),0))*'Retirement Planning'!$J$38</f>
        <v>1213.6000000000001</v>
      </c>
      <c r="Y316" s="7">
        <f ca="1">'Retirement Planning'!$F$35*((1+'Retirement Planning'!$J$24)^(YEAR('Projected Retirement Drawdown'!C316)-YEAR(TODAY())))</f>
        <v>12268.85301971791</v>
      </c>
      <c r="Z316" s="7">
        <f ca="1">G316+M316+O316+0.85*X316+V316*'Retirement Planning'!$J$46+T316</f>
        <v>13432.981820083702</v>
      </c>
      <c r="AA316" s="7">
        <f ca="1">IF(MONTH(C316)=1,(((MIN(MAX(0,((SUM(Z304:Z315)-'Retirement Planning'!$I$53-'Retirement Planning'!$I$54)-'Retirement Planning'!$J$51)*'Retirement Planning'!$I$52))))+(MIN(MAX(0,((SUM(Z304:Z315)-'Retirement Planning'!$I$53-'Retirement Planning'!$I$54)-'Retirement Planning'!$J$50)*'Retirement Planning'!$I$51),('Retirement Planning'!$J$51-'Retirement Planning'!$J$50)*'Retirement Planning'!$I$51))+(MIN(MAX(0,((SUM(Z304:Z315)-'Retirement Planning'!$I$53-'Retirement Planning'!$I$54)-'Retirement Planning'!$J$49)*'Retirement Planning'!$I$50),('Retirement Planning'!$J$50-'Retirement Planning'!$J$49)*'Retirement Planning'!$I$50)+MIN(MAX(0,((SUM(Z304:Z315)-'Retirement Planning'!$I$53-'Retirement Planning'!$I$54)-'Retirement Planning'!$J$48)*'Retirement Planning'!$I$49),('Retirement Planning'!$J$49-'Retirement Planning'!$J$48)*'Retirement Planning'!$I$49)+MIN(((SUM(Z304:Z315)-'Retirement Planning'!$I$53-'Retirement Planning'!$I$54))*'Retirement Planning'!$I$48,('Retirement Planning'!$J$48)*'Retirement Planning'!$I$48))+(IF((SUM(Z304:Z315)-'Retirement Planning'!$I$54-'Retirement Planning'!$I$61)&gt;'Retirement Planning'!$J$59,(SUM(Z304:Z315)-'Retirement Planning'!$I$54-'Retirement Planning'!$I$61-'Retirement Planning'!$J$59)*'Retirement Planning'!$I$60+'Retirement Planning'!$K$59,IF((SUM(Z304:Z315)-'Retirement Planning'!$I$54-'Retirement Planning'!$I$61)&gt;'Retirement Planning'!$J$58,(SUM(Z304:Z315)-'Retirement Planning'!$I$54-'Retirement Planning'!$I$61-'Retirement Planning'!$J$58)*'Retirement Planning'!$I$59+'Retirement Planning'!$K$58,IF((SUM(Z304:Z315)-'Retirement Planning'!$I$54-'Retirement Planning'!$I$61)&gt;'Retirement Planning'!$J$57,(SUM(Z304:Z315)-'Retirement Planning'!$I$54-'Retirement Planning'!$I$61-'Retirement Planning'!$J$57)*'Retirement Planning'!$I$58+'Retirement Planning'!$K$57,IF((SUM(Z304:Z315)-'Retirement Planning'!$I$54-'Retirement Planning'!$I$61)&gt;'Retirement Planning'!$J$56,(SUM(Z304:Z315)-'Retirement Planning'!$I$54-'Retirement Planning'!$I$61-'Retirement Planning'!$J$56)*'Retirement Planning'!$I$57+'Retirement Planning'!$K$56,(SUM(Z304:Z315)-'Retirement Planning'!$I$54-'Retirement Planning'!$I$61)*'Retirement Planning'!$I$56))))))/12,AA315)</f>
        <v>3281.5096003679009</v>
      </c>
      <c r="AB316" s="104">
        <f t="shared" ca="1" si="134"/>
        <v>0.25345495673605672</v>
      </c>
      <c r="AC316" s="7">
        <f>IF(B316&lt;65,'Retirement Planning'!$J$28,0)</f>
        <v>0</v>
      </c>
      <c r="AD316" s="7">
        <f>IF(B316&lt;65,'Retirement Planning'!$J$29/12,0)</f>
        <v>0</v>
      </c>
      <c r="AE316" s="22">
        <f>'Retirement Planning'!$J$31/12</f>
        <v>58.333333333333336</v>
      </c>
      <c r="AF316" s="22">
        <f>'Retirement Planning'!$J$32/12</f>
        <v>66.666666666666671</v>
      </c>
      <c r="AG316" s="7">
        <f>IF($B316&gt;64.9,'Retirement Planning'!$J$39/12,0)</f>
        <v>183.33333333333334</v>
      </c>
      <c r="AH316" s="7">
        <f>IF($B316&gt;64.9,'Retirement Planning'!$J$40/12,0)</f>
        <v>258.33333333333331</v>
      </c>
      <c r="AI316" s="7">
        <f>IF($B316&gt;64.9,'Retirement Planning'!$J$41/12,0)</f>
        <v>558.33333333333337</v>
      </c>
      <c r="AJ316" s="7">
        <f t="shared" ca="1" si="116"/>
        <v>316.66666666666663</v>
      </c>
      <c r="AK316" s="3" t="str">
        <f t="shared" ca="1" si="117"/>
        <v>N/A</v>
      </c>
      <c r="AL316" s="6" t="str">
        <f t="shared" ca="1" si="118"/>
        <v>N/A</v>
      </c>
      <c r="AM316" s="7">
        <f t="shared" ca="1" si="119"/>
        <v>-6.8212102632969618E-13</v>
      </c>
      <c r="AN316" s="7">
        <f t="shared" ca="1" si="120"/>
        <v>16675.362620085813</v>
      </c>
      <c r="AO316" s="7">
        <f t="shared" si="121"/>
        <v>1125</v>
      </c>
    </row>
    <row r="317" spans="1:41" x14ac:dyDescent="0.2">
      <c r="A317">
        <f t="shared" si="122"/>
        <v>50</v>
      </c>
      <c r="B317" s="5">
        <f t="shared" si="123"/>
        <v>81.900000000000006</v>
      </c>
      <c r="C317" s="56">
        <f t="shared" si="124"/>
        <v>55763</v>
      </c>
      <c r="D317" s="57">
        <f ca="1">IF(AND(B316&lt;59.5,OR(B317&gt;59.5,B317=59.5)),(D316-E316+J316-K316)*(1+'Retirement Planning'!$J$23/12),(D316-E316)*(1+'Retirement Planning'!$J$23/12))</f>
        <v>696742.92447011173</v>
      </c>
      <c r="E317" s="58">
        <f t="shared" ca="1" si="111"/>
        <v>1627.9572048208029</v>
      </c>
      <c r="F317" s="57">
        <f ca="1">IF(AND(OR(B317&gt;59.5,B317=59.5),B316&lt;59.5),(F316-G316+L316-M316+N316-O316)*(1+'Retirement Planning'!$J$23/12),(F316-G316)*(1+'Retirement Planning'!$J$23/12))</f>
        <v>1372742.8690281278</v>
      </c>
      <c r="G317" s="58">
        <f ca="1">IF(AND($B$10&lt;55,B317&lt;59.5),'Retirement Planning'!$J$25,IF(OR(B317&gt;59.5,B317=59.5),MAX(0,MIN(F317,IF(D317&lt;2500,((Y317+AJ317+AA317))-X317,((Y317+AJ317+AA317)*'Retirement Planning'!$J$44)-X317))),0))</f>
        <v>11638.693722269507</v>
      </c>
      <c r="H317" s="255">
        <f ca="1">IF(MONTH(C317)=1,IF(B317&gt;69.5,F317/(INDEX('Retirement Planning'!D$1:D$264,(160+INT(B317))))/12,0),IF(F317=0,0,H316))</f>
        <v>11341.712469139873</v>
      </c>
      <c r="I317" s="262">
        <f t="shared" ca="1" si="112"/>
        <v>0</v>
      </c>
      <c r="J317" s="254">
        <f ca="1">IF(AND(B316&lt;59.5,OR(B317=59.5,B317&gt;59.5)),0,(J316-K316)*(1+'Retirement Planning'!$J$23/12))</f>
        <v>0</v>
      </c>
      <c r="K317" s="58">
        <f t="shared" ca="1" si="113"/>
        <v>0</v>
      </c>
      <c r="L317" s="57">
        <f>IF(AND(OR(B317&gt;59.5,B317=59.5),B316&lt;59.5),0,(L316-M316)*(1+'Retirement Planning'!$J$23/12))</f>
        <v>0</v>
      </c>
      <c r="M317" s="59">
        <f>IF(AND($B$10&lt;55,B317&lt;59.5),0,IF(B317&lt;59.5,MAX(0,MIN((($Y317+$AJ317+AA317)*'Retirement Planning'!$J$44)-$G317-$X317,L317)),0))</f>
        <v>0</v>
      </c>
      <c r="N317" s="57">
        <f ca="1">(N316-O316)*(1+'Retirement Planning'!$J$23/12)</f>
        <v>0</v>
      </c>
      <c r="O317" s="59">
        <f ca="1">IF(B317&gt;59.5,MAX(0,MIN((AA317+$Y317+$AJ317)*(IF(D317&lt;(MIN(E305:E316)+1),1,'Retirement Planning'!$J$44))-M317-$G317-$X317-(IF(D317&lt;(MIN(E305:E316)+1),D317,0)),N317)),0)</f>
        <v>0</v>
      </c>
      <c r="P317" s="57">
        <f t="shared" si="125"/>
        <v>0</v>
      </c>
      <c r="Q317" s="58">
        <f t="shared" si="126"/>
        <v>0</v>
      </c>
      <c r="R317" s="57">
        <f ca="1">(R316-S316-T316)*(1+'Retirement Planning'!$J$23/12)</f>
        <v>883770.91757888673</v>
      </c>
      <c r="S317" s="58">
        <f t="shared" ca="1" si="127"/>
        <v>808.33333333333337</v>
      </c>
      <c r="T317" s="273">
        <f t="shared" ca="1" si="114"/>
        <v>3.1832314562052488E-12</v>
      </c>
      <c r="U317" s="57">
        <f ca="1">(U316-V316)*(1+'Retirement Planning'!$J$23/12)</f>
        <v>571810.4138552692</v>
      </c>
      <c r="V317" s="24">
        <f ca="1">IF(AND($B$10&lt;55,B317&lt;59.5),MIN(U317,MAX(0,(Y317+AA317+AJ317-G317)*'Retirement Planning'!$J$45)),IF(B317&lt;59.5,(MIN(U317,MAX(0,((Y317+AA317+AJ317)-G317-M317)*'Retirement Planning'!$J$45))),MIN(U317,MAX(0,(Y317+AA317+AJ317-G317-M317-K317-X317)*'Retirement Planning'!$J$45))))</f>
        <v>1386.7783596621659</v>
      </c>
      <c r="W317" s="7">
        <f t="shared" ca="1" si="115"/>
        <v>3525067.1249323953</v>
      </c>
      <c r="X317" s="7">
        <f>(IF(B317&gt;'Retirement Planning'!$J$34,IF('Retirement Planning'!$J$34=70,'Retirement Planning'!$J$37/12,IF('Retirement Planning'!$J$34=67,'Retirement Planning'!$J$36/12,'Retirement Planning'!$J$35/12)),0))*'Retirement Planning'!$J$38</f>
        <v>1213.6000000000001</v>
      </c>
      <c r="Y317" s="7">
        <f ca="1">'Retirement Planning'!$F$35*((1+'Retirement Planning'!$J$24)^(YEAR('Projected Retirement Drawdown'!C317)-YEAR(TODAY())))</f>
        <v>12268.85301971791</v>
      </c>
      <c r="Z317" s="7">
        <f ca="1">G317+M317+O317+0.85*X317+V317*'Retirement Planning'!$J$46+T317</f>
        <v>13432.981820083702</v>
      </c>
      <c r="AA317" s="7">
        <f ca="1">IF(MONTH(C317)=1,(((MIN(MAX(0,((SUM(Z305:Z316)-'Retirement Planning'!$I$53-'Retirement Planning'!$I$54)-'Retirement Planning'!$J$51)*'Retirement Planning'!$I$52))))+(MIN(MAX(0,((SUM(Z305:Z316)-'Retirement Planning'!$I$53-'Retirement Planning'!$I$54)-'Retirement Planning'!$J$50)*'Retirement Planning'!$I$51),('Retirement Planning'!$J$51-'Retirement Planning'!$J$50)*'Retirement Planning'!$I$51))+(MIN(MAX(0,((SUM(Z305:Z316)-'Retirement Planning'!$I$53-'Retirement Planning'!$I$54)-'Retirement Planning'!$J$49)*'Retirement Planning'!$I$50),('Retirement Planning'!$J$50-'Retirement Planning'!$J$49)*'Retirement Planning'!$I$50)+MIN(MAX(0,((SUM(Z305:Z316)-'Retirement Planning'!$I$53-'Retirement Planning'!$I$54)-'Retirement Planning'!$J$48)*'Retirement Planning'!$I$49),('Retirement Planning'!$J$49-'Retirement Planning'!$J$48)*'Retirement Planning'!$I$49)+MIN(((SUM(Z305:Z316)-'Retirement Planning'!$I$53-'Retirement Planning'!$I$54))*'Retirement Planning'!$I$48,('Retirement Planning'!$J$48)*'Retirement Planning'!$I$48))+(IF((SUM(Z305:Z316)-'Retirement Planning'!$I$54-'Retirement Planning'!$I$61)&gt;'Retirement Planning'!$J$59,(SUM(Z305:Z316)-'Retirement Planning'!$I$54-'Retirement Planning'!$I$61-'Retirement Planning'!$J$59)*'Retirement Planning'!$I$60+'Retirement Planning'!$K$59,IF((SUM(Z305:Z316)-'Retirement Planning'!$I$54-'Retirement Planning'!$I$61)&gt;'Retirement Planning'!$J$58,(SUM(Z305:Z316)-'Retirement Planning'!$I$54-'Retirement Planning'!$I$61-'Retirement Planning'!$J$58)*'Retirement Planning'!$I$59+'Retirement Planning'!$K$58,IF((SUM(Z305:Z316)-'Retirement Planning'!$I$54-'Retirement Planning'!$I$61)&gt;'Retirement Planning'!$J$57,(SUM(Z305:Z316)-'Retirement Planning'!$I$54-'Retirement Planning'!$I$61-'Retirement Planning'!$J$57)*'Retirement Planning'!$I$58+'Retirement Planning'!$K$57,IF((SUM(Z305:Z316)-'Retirement Planning'!$I$54-'Retirement Planning'!$I$61)&gt;'Retirement Planning'!$J$56,(SUM(Z305:Z316)-'Retirement Planning'!$I$54-'Retirement Planning'!$I$61-'Retirement Planning'!$J$56)*'Retirement Planning'!$I$57+'Retirement Planning'!$K$56,(SUM(Z305:Z316)-'Retirement Planning'!$I$54-'Retirement Planning'!$I$61)*'Retirement Planning'!$I$56))))))/12,AA316)</f>
        <v>3281.5096003679009</v>
      </c>
      <c r="AB317" s="104">
        <f t="shared" ca="1" si="134"/>
        <v>0.25345495673605672</v>
      </c>
      <c r="AC317" s="7">
        <f>IF(B317&lt;65,'Retirement Planning'!$J$28,0)</f>
        <v>0</v>
      </c>
      <c r="AD317" s="7">
        <f>IF(B317&lt;65,'Retirement Planning'!$J$29/12,0)</f>
        <v>0</v>
      </c>
      <c r="AE317" s="22">
        <f>'Retirement Planning'!$J$31/12</f>
        <v>58.333333333333336</v>
      </c>
      <c r="AF317" s="22">
        <f>'Retirement Planning'!$J$32/12</f>
        <v>66.666666666666671</v>
      </c>
      <c r="AG317" s="7">
        <f>IF($B317&gt;64.9,'Retirement Planning'!$J$39/12,0)</f>
        <v>183.33333333333334</v>
      </c>
      <c r="AH317" s="7">
        <f>IF($B317&gt;64.9,'Retirement Planning'!$J$40/12,0)</f>
        <v>258.33333333333331</v>
      </c>
      <c r="AI317" s="7">
        <f>IF($B317&gt;64.9,'Retirement Planning'!$J$41/12,0)</f>
        <v>558.33333333333337</v>
      </c>
      <c r="AJ317" s="7">
        <f t="shared" ca="1" si="116"/>
        <v>316.66666666666663</v>
      </c>
      <c r="AK317" s="3" t="str">
        <f t="shared" ca="1" si="117"/>
        <v>N/A</v>
      </c>
      <c r="AL317" s="6" t="str">
        <f t="shared" ca="1" si="118"/>
        <v>N/A</v>
      </c>
      <c r="AM317" s="7">
        <f t="shared" ca="1" si="119"/>
        <v>-6.8212102632969618E-13</v>
      </c>
      <c r="AN317" s="7">
        <f t="shared" ca="1" si="120"/>
        <v>16675.362620085813</v>
      </c>
      <c r="AO317" s="7">
        <f t="shared" si="121"/>
        <v>1125</v>
      </c>
    </row>
    <row r="318" spans="1:41" x14ac:dyDescent="0.2">
      <c r="A318">
        <f t="shared" si="122"/>
        <v>50</v>
      </c>
      <c r="B318" s="5">
        <f t="shared" si="123"/>
        <v>82</v>
      </c>
      <c r="C318" s="56">
        <f t="shared" si="124"/>
        <v>55793</v>
      </c>
      <c r="D318" s="57">
        <f ca="1">IF(AND(B317&lt;59.5,OR(B318&gt;59.5,B318=59.5)),(D317-E317+J317-K317)*(1+'Retirement Planning'!$J$23/12),(D317-E317)*(1+'Retirement Planning'!$J$23/12))</f>
        <v>700038.69828342006</v>
      </c>
      <c r="E318" s="58">
        <f t="shared" ca="1" si="111"/>
        <v>1627.9572048208029</v>
      </c>
      <c r="F318" s="57">
        <f ca="1">IF(AND(OR(B318&gt;59.5,B318=59.5),B317&lt;59.5),(F317-G317+L317-M317+N317-O317)*(1+'Retirement Planning'!$J$23/12),(F317-G317)*(1+'Retirement Planning'!$J$23/12))</f>
        <v>1370745.3298809414</v>
      </c>
      <c r="G318" s="58">
        <f ca="1">IF(AND($B$10&lt;55,B318&lt;59.5),'Retirement Planning'!$J$25,IF(OR(B318&gt;59.5,B318=59.5),MAX(0,MIN(F318,IF(D318&lt;2500,((Y318+AJ318+AA318))-X318,((Y318+AJ318+AA318)*'Retirement Planning'!$J$44)-X318))),0))</f>
        <v>11638.693722269507</v>
      </c>
      <c r="H318" s="255">
        <f ca="1">IF(MONTH(C318)=1,IF(B318&gt;69.5,F318/(INDEX('Retirement Planning'!D$1:D$264,(160+INT(B318))))/12,0),IF(F318=0,0,H317))</f>
        <v>11341.712469139873</v>
      </c>
      <c r="I318" s="262">
        <f t="shared" ca="1" si="112"/>
        <v>0</v>
      </c>
      <c r="J318" s="254">
        <f ca="1">IF(AND(B317&lt;59.5,OR(B318=59.5,B318&gt;59.5)),0,(J317-K317)*(1+'Retirement Planning'!$J$23/12))</f>
        <v>0</v>
      </c>
      <c r="K318" s="58">
        <f t="shared" ca="1" si="113"/>
        <v>0</v>
      </c>
      <c r="L318" s="57">
        <f>IF(AND(OR(B318&gt;59.5,B318=59.5),B317&lt;59.5),0,(L317-M317)*(1+'Retirement Planning'!$J$23/12))</f>
        <v>0</v>
      </c>
      <c r="M318" s="59">
        <f>IF(AND($B$10&lt;55,B318&lt;59.5),0,IF(B318&lt;59.5,MAX(0,MIN((($Y318+$AJ318+AA318)*'Retirement Planning'!$J$44)-$G318-$X318,L318)),0))</f>
        <v>0</v>
      </c>
      <c r="N318" s="57">
        <f ca="1">(N317-O317)*(1+'Retirement Planning'!$J$23/12)</f>
        <v>0</v>
      </c>
      <c r="O318" s="59">
        <f ca="1">IF(B318&gt;59.5,MAX(0,MIN((AA318+$Y318+$AJ318)*(IF(D318&lt;(MIN(E306:E317)+1),1,'Retirement Planning'!$J$44))-M318-$G318-$X318-(IF(D318&lt;(MIN(E306:E317)+1),D318,0)),N318)),0)</f>
        <v>0</v>
      </c>
      <c r="P318" s="57">
        <f t="shared" si="125"/>
        <v>0</v>
      </c>
      <c r="Q318" s="58">
        <f t="shared" si="126"/>
        <v>0</v>
      </c>
      <c r="R318" s="57">
        <f ca="1">(R317-S317-T317)*(1+'Retirement Planning'!$J$23/12)</f>
        <v>889216.90255062608</v>
      </c>
      <c r="S318" s="58">
        <f t="shared" ca="1" si="127"/>
        <v>808.33333333333337</v>
      </c>
      <c r="T318" s="273">
        <f t="shared" ca="1" si="114"/>
        <v>3.1832314562052488E-12</v>
      </c>
      <c r="U318" s="57">
        <f ca="1">(U317-V317)*(1+'Retirement Planning'!$J$23/12)</f>
        <v>574464.1362470343</v>
      </c>
      <c r="V318" s="24">
        <f ca="1">IF(AND($B$10&lt;55,B318&lt;59.5),MIN(U318,MAX(0,(Y318+AA318+AJ318-G318)*'Retirement Planning'!$J$45)),IF(B318&lt;59.5,(MIN(U318,MAX(0,((Y318+AA318+AJ318)-G318-M318)*'Retirement Planning'!$J$45))),MIN(U318,MAX(0,(Y318+AA318+AJ318-G318-M318-K318-X318)*'Retirement Planning'!$J$45))))</f>
        <v>1386.7783596621659</v>
      </c>
      <c r="W318" s="7">
        <f t="shared" ca="1" si="115"/>
        <v>3534465.0669620219</v>
      </c>
      <c r="X318" s="7">
        <f>(IF(B318&gt;'Retirement Planning'!$J$34,IF('Retirement Planning'!$J$34=70,'Retirement Planning'!$J$37/12,IF('Retirement Planning'!$J$34=67,'Retirement Planning'!$J$36/12,'Retirement Planning'!$J$35/12)),0))*'Retirement Planning'!$J$38</f>
        <v>1213.6000000000001</v>
      </c>
      <c r="Y318" s="7">
        <f ca="1">'Retirement Planning'!$F$35*((1+'Retirement Planning'!$J$24)^(YEAR('Projected Retirement Drawdown'!C318)-YEAR(TODAY())))</f>
        <v>12268.85301971791</v>
      </c>
      <c r="Z318" s="7">
        <f ca="1">G318+M318+O318+0.85*X318+V318*'Retirement Planning'!$J$46+T318</f>
        <v>13432.981820083702</v>
      </c>
      <c r="AA318" s="7">
        <f ca="1">IF(MONTH(C318)=1,(((MIN(MAX(0,((SUM(Z306:Z317)-'Retirement Planning'!$I$53-'Retirement Planning'!$I$54)-'Retirement Planning'!$J$51)*'Retirement Planning'!$I$52))))+(MIN(MAX(0,((SUM(Z306:Z317)-'Retirement Planning'!$I$53-'Retirement Planning'!$I$54)-'Retirement Planning'!$J$50)*'Retirement Planning'!$I$51),('Retirement Planning'!$J$51-'Retirement Planning'!$J$50)*'Retirement Planning'!$I$51))+(MIN(MAX(0,((SUM(Z306:Z317)-'Retirement Planning'!$I$53-'Retirement Planning'!$I$54)-'Retirement Planning'!$J$49)*'Retirement Planning'!$I$50),('Retirement Planning'!$J$50-'Retirement Planning'!$J$49)*'Retirement Planning'!$I$50)+MIN(MAX(0,((SUM(Z306:Z317)-'Retirement Planning'!$I$53-'Retirement Planning'!$I$54)-'Retirement Planning'!$J$48)*'Retirement Planning'!$I$49),('Retirement Planning'!$J$49-'Retirement Planning'!$J$48)*'Retirement Planning'!$I$49)+MIN(((SUM(Z306:Z317)-'Retirement Planning'!$I$53-'Retirement Planning'!$I$54))*'Retirement Planning'!$I$48,('Retirement Planning'!$J$48)*'Retirement Planning'!$I$48))+(IF((SUM(Z306:Z317)-'Retirement Planning'!$I$54-'Retirement Planning'!$I$61)&gt;'Retirement Planning'!$J$59,(SUM(Z306:Z317)-'Retirement Planning'!$I$54-'Retirement Planning'!$I$61-'Retirement Planning'!$J$59)*'Retirement Planning'!$I$60+'Retirement Planning'!$K$59,IF((SUM(Z306:Z317)-'Retirement Planning'!$I$54-'Retirement Planning'!$I$61)&gt;'Retirement Planning'!$J$58,(SUM(Z306:Z317)-'Retirement Planning'!$I$54-'Retirement Planning'!$I$61-'Retirement Planning'!$J$58)*'Retirement Planning'!$I$59+'Retirement Planning'!$K$58,IF((SUM(Z306:Z317)-'Retirement Planning'!$I$54-'Retirement Planning'!$I$61)&gt;'Retirement Planning'!$J$57,(SUM(Z306:Z317)-'Retirement Planning'!$I$54-'Retirement Planning'!$I$61-'Retirement Planning'!$J$57)*'Retirement Planning'!$I$58+'Retirement Planning'!$K$57,IF((SUM(Z306:Z317)-'Retirement Planning'!$I$54-'Retirement Planning'!$I$61)&gt;'Retirement Planning'!$J$56,(SUM(Z306:Z317)-'Retirement Planning'!$I$54-'Retirement Planning'!$I$61-'Retirement Planning'!$J$56)*'Retirement Planning'!$I$57+'Retirement Planning'!$K$56,(SUM(Z306:Z317)-'Retirement Planning'!$I$54-'Retirement Planning'!$I$61)*'Retirement Planning'!$I$56))))))/12,AA317)</f>
        <v>3281.5096003679009</v>
      </c>
      <c r="AB318" s="104">
        <f t="shared" ca="1" si="134"/>
        <v>0.25345495673605672</v>
      </c>
      <c r="AC318" s="7">
        <f>IF(B318&lt;65,'Retirement Planning'!$J$28,0)</f>
        <v>0</v>
      </c>
      <c r="AD318" s="7">
        <f>IF(B318&lt;65,'Retirement Planning'!$J$29/12,0)</f>
        <v>0</v>
      </c>
      <c r="AE318" s="22">
        <f>'Retirement Planning'!$J$31/12</f>
        <v>58.333333333333336</v>
      </c>
      <c r="AF318" s="22">
        <f>'Retirement Planning'!$J$32/12</f>
        <v>66.666666666666671</v>
      </c>
      <c r="AG318" s="7">
        <f>IF($B318&gt;64.9,'Retirement Planning'!$J$39/12,0)</f>
        <v>183.33333333333334</v>
      </c>
      <c r="AH318" s="7">
        <f>IF($B318&gt;64.9,'Retirement Planning'!$J$40/12,0)</f>
        <v>258.33333333333331</v>
      </c>
      <c r="AI318" s="7">
        <f>IF($B318&gt;64.9,'Retirement Planning'!$J$41/12,0)</f>
        <v>558.33333333333337</v>
      </c>
      <c r="AJ318" s="7">
        <f t="shared" ca="1" si="116"/>
        <v>316.66666666666663</v>
      </c>
      <c r="AK318" s="3" t="str">
        <f t="shared" ca="1" si="117"/>
        <v>N/A</v>
      </c>
      <c r="AL318" s="6" t="str">
        <f t="shared" ca="1" si="118"/>
        <v>N/A</v>
      </c>
      <c r="AM318" s="7">
        <f t="shared" ca="1" si="119"/>
        <v>-6.8212102632969618E-13</v>
      </c>
      <c r="AN318" s="7">
        <f t="shared" ca="1" si="120"/>
        <v>16675.362620085813</v>
      </c>
      <c r="AO318" s="7">
        <f t="shared" si="121"/>
        <v>1125</v>
      </c>
    </row>
    <row r="319" spans="1:41" x14ac:dyDescent="0.2">
      <c r="A319">
        <f t="shared" si="122"/>
        <v>50</v>
      </c>
      <c r="B319" s="5">
        <f t="shared" si="123"/>
        <v>82</v>
      </c>
      <c r="C319" s="56">
        <f t="shared" si="124"/>
        <v>55824</v>
      </c>
      <c r="D319" s="57">
        <f ca="1">IF(AND(B318&lt;59.5,OR(B319&gt;59.5,B319=59.5)),(D318-E318+J318-K318)*(1+'Retirement Planning'!$J$23/12),(D318-E318)*(1+'Retirement Planning'!$J$23/12))</f>
        <v>703357.81716123933</v>
      </c>
      <c r="E319" s="58">
        <f t="shared" ca="1" si="111"/>
        <v>1627.9572048208029</v>
      </c>
      <c r="F319" s="57">
        <f ca="1">IF(AND(OR(B319&gt;59.5,B319=59.5),B318&lt;59.5),(F318-G318+L318-M318+N318-O318)*(1+'Retirement Planning'!$J$23/12),(F318-G318)*(1+'Retirement Planning'!$J$23/12))</f>
        <v>1368733.6414981291</v>
      </c>
      <c r="G319" s="58">
        <f ca="1">IF(AND($B$10&lt;55,B319&lt;59.5),'Retirement Planning'!$J$25,IF(OR(B319&gt;59.5,B319=59.5),MAX(0,MIN(F319,IF(D319&lt;2500,((Y319+AJ319+AA319))-X319,((Y319+AJ319+AA319)*'Retirement Planning'!$J$44)-X319))),0))</f>
        <v>11638.693722269507</v>
      </c>
      <c r="H319" s="255">
        <f ca="1">IF(MONTH(C319)=1,IF(B319&gt;69.5,F319/(INDEX('Retirement Planning'!D$1:D$264,(160+INT(B319))))/12,0),IF(F319=0,0,H318))</f>
        <v>11341.712469139873</v>
      </c>
      <c r="I319" s="262">
        <f t="shared" ca="1" si="112"/>
        <v>0</v>
      </c>
      <c r="J319" s="254">
        <f ca="1">IF(AND(B318&lt;59.5,OR(B319=59.5,B319&gt;59.5)),0,(J318-K318)*(1+'Retirement Planning'!$J$23/12))</f>
        <v>0</v>
      </c>
      <c r="K319" s="58">
        <f t="shared" ca="1" si="113"/>
        <v>0</v>
      </c>
      <c r="L319" s="57">
        <f>IF(AND(OR(B319&gt;59.5,B319=59.5),B318&lt;59.5),0,(L318-M318)*(1+'Retirement Planning'!$J$23/12))</f>
        <v>0</v>
      </c>
      <c r="M319" s="59">
        <f>IF(AND($B$10&lt;55,B319&lt;59.5),0,IF(B319&lt;59.5,MAX(0,MIN((($Y319+$AJ319+AA319)*'Retirement Planning'!$J$44)-$G319-$X319,L319)),0))</f>
        <v>0</v>
      </c>
      <c r="N319" s="57">
        <f ca="1">(N318-O318)*(1+'Retirement Planning'!$J$23/12)</f>
        <v>0</v>
      </c>
      <c r="O319" s="59">
        <f ca="1">IF(B319&gt;59.5,MAX(0,MIN((AA319+$Y319+$AJ319)*(IF(D319&lt;(MIN(E307:E318)+1),1,'Retirement Planning'!$J$44))-M319-$G319-$X319-(IF(D319&lt;(MIN(E307:E318)+1),D319,0)),N319)),0)</f>
        <v>0</v>
      </c>
      <c r="P319" s="57">
        <f t="shared" si="125"/>
        <v>0</v>
      </c>
      <c r="Q319" s="58">
        <f t="shared" si="126"/>
        <v>0</v>
      </c>
      <c r="R319" s="57">
        <f ca="1">(R318-S318-T318)*(1+'Retirement Planning'!$J$23/12)</f>
        <v>894701.46324924857</v>
      </c>
      <c r="S319" s="58">
        <f t="shared" ca="1" si="127"/>
        <v>808.33333333333337</v>
      </c>
      <c r="T319" s="273">
        <f t="shared" ca="1" si="114"/>
        <v>3.1832314562052488E-12</v>
      </c>
      <c r="U319" s="57">
        <f ca="1">(U318-V318)*(1+'Retirement Planning'!$J$23/12)</f>
        <v>577136.6558390744</v>
      </c>
      <c r="V319" s="24">
        <f ca="1">IF(AND($B$10&lt;55,B319&lt;59.5),MIN(U319,MAX(0,(Y319+AA319+AJ319-G319)*'Retirement Planning'!$J$45)),IF(B319&lt;59.5,(MIN(U319,MAX(0,((Y319+AA319+AJ319)-G319-M319)*'Retirement Planning'!$J$45))),MIN(U319,MAX(0,(Y319+AA319+AJ319-G319-M319-K319-X319)*'Retirement Planning'!$J$45))))</f>
        <v>1386.7783596621659</v>
      </c>
      <c r="W319" s="7">
        <f t="shared" ca="1" si="115"/>
        <v>3543929.5777476914</v>
      </c>
      <c r="X319" s="7">
        <f>(IF(B319&gt;'Retirement Planning'!$J$34,IF('Retirement Planning'!$J$34=70,'Retirement Planning'!$J$37/12,IF('Retirement Planning'!$J$34=67,'Retirement Planning'!$J$36/12,'Retirement Planning'!$J$35/12)),0))*'Retirement Planning'!$J$38</f>
        <v>1213.6000000000001</v>
      </c>
      <c r="Y319" s="7">
        <f ca="1">'Retirement Planning'!$F$35*((1+'Retirement Planning'!$J$24)^(YEAR('Projected Retirement Drawdown'!C319)-YEAR(TODAY())))</f>
        <v>12268.85301971791</v>
      </c>
      <c r="Z319" s="7">
        <f ca="1">G319+M319+O319+0.85*X319+V319*'Retirement Planning'!$J$46+T319</f>
        <v>13432.981820083702</v>
      </c>
      <c r="AA319" s="7">
        <f ca="1">IF(MONTH(C319)=1,(((MIN(MAX(0,((SUM(Z307:Z318)-'Retirement Planning'!$I$53-'Retirement Planning'!$I$54)-'Retirement Planning'!$J$51)*'Retirement Planning'!$I$52))))+(MIN(MAX(0,((SUM(Z307:Z318)-'Retirement Planning'!$I$53-'Retirement Planning'!$I$54)-'Retirement Planning'!$J$50)*'Retirement Planning'!$I$51),('Retirement Planning'!$J$51-'Retirement Planning'!$J$50)*'Retirement Planning'!$I$51))+(MIN(MAX(0,((SUM(Z307:Z318)-'Retirement Planning'!$I$53-'Retirement Planning'!$I$54)-'Retirement Planning'!$J$49)*'Retirement Planning'!$I$50),('Retirement Planning'!$J$50-'Retirement Planning'!$J$49)*'Retirement Planning'!$I$50)+MIN(MAX(0,((SUM(Z307:Z318)-'Retirement Planning'!$I$53-'Retirement Planning'!$I$54)-'Retirement Planning'!$J$48)*'Retirement Planning'!$I$49),('Retirement Planning'!$J$49-'Retirement Planning'!$J$48)*'Retirement Planning'!$I$49)+MIN(((SUM(Z307:Z318)-'Retirement Planning'!$I$53-'Retirement Planning'!$I$54))*'Retirement Planning'!$I$48,('Retirement Planning'!$J$48)*'Retirement Planning'!$I$48))+(IF((SUM(Z307:Z318)-'Retirement Planning'!$I$54-'Retirement Planning'!$I$61)&gt;'Retirement Planning'!$J$59,(SUM(Z307:Z318)-'Retirement Planning'!$I$54-'Retirement Planning'!$I$61-'Retirement Planning'!$J$59)*'Retirement Planning'!$I$60+'Retirement Planning'!$K$59,IF((SUM(Z307:Z318)-'Retirement Planning'!$I$54-'Retirement Planning'!$I$61)&gt;'Retirement Planning'!$J$58,(SUM(Z307:Z318)-'Retirement Planning'!$I$54-'Retirement Planning'!$I$61-'Retirement Planning'!$J$58)*'Retirement Planning'!$I$59+'Retirement Planning'!$K$58,IF((SUM(Z307:Z318)-'Retirement Planning'!$I$54-'Retirement Planning'!$I$61)&gt;'Retirement Planning'!$J$57,(SUM(Z307:Z318)-'Retirement Planning'!$I$54-'Retirement Planning'!$I$61-'Retirement Planning'!$J$57)*'Retirement Planning'!$I$58+'Retirement Planning'!$K$57,IF((SUM(Z307:Z318)-'Retirement Planning'!$I$54-'Retirement Planning'!$I$61)&gt;'Retirement Planning'!$J$56,(SUM(Z307:Z318)-'Retirement Planning'!$I$54-'Retirement Planning'!$I$61-'Retirement Planning'!$J$56)*'Retirement Planning'!$I$57+'Retirement Planning'!$K$56,(SUM(Z307:Z318)-'Retirement Planning'!$I$54-'Retirement Planning'!$I$61)*'Retirement Planning'!$I$56))))))/12,AA318)</f>
        <v>3281.5096003679009</v>
      </c>
      <c r="AB319" s="104">
        <f t="shared" ca="1" si="134"/>
        <v>0.25345495673605672</v>
      </c>
      <c r="AC319" s="7">
        <f>IF(B319&lt;65,'Retirement Planning'!$J$28,0)</f>
        <v>0</v>
      </c>
      <c r="AD319" s="7">
        <f>IF(B319&lt;65,'Retirement Planning'!$J$29/12,0)</f>
        <v>0</v>
      </c>
      <c r="AE319" s="22">
        <f>'Retirement Planning'!$J$31/12</f>
        <v>58.333333333333336</v>
      </c>
      <c r="AF319" s="22">
        <f>'Retirement Planning'!$J$32/12</f>
        <v>66.666666666666671</v>
      </c>
      <c r="AG319" s="7">
        <f>IF($B319&gt;64.9,'Retirement Planning'!$J$39/12,0)</f>
        <v>183.33333333333334</v>
      </c>
      <c r="AH319" s="7">
        <f>IF($B319&gt;64.9,'Retirement Planning'!$J$40/12,0)</f>
        <v>258.33333333333331</v>
      </c>
      <c r="AI319" s="7">
        <f>IF($B319&gt;64.9,'Retirement Planning'!$J$41/12,0)</f>
        <v>558.33333333333337</v>
      </c>
      <c r="AJ319" s="7">
        <f t="shared" ca="1" si="116"/>
        <v>316.66666666666663</v>
      </c>
      <c r="AK319" s="3" t="str">
        <f t="shared" ca="1" si="117"/>
        <v>N/A</v>
      </c>
      <c r="AL319" s="6" t="str">
        <f t="shared" ca="1" si="118"/>
        <v>N/A</v>
      </c>
      <c r="AM319" s="7">
        <f t="shared" ca="1" si="119"/>
        <v>-6.8212102632969618E-13</v>
      </c>
      <c r="AN319" s="7">
        <f t="shared" ca="1" si="120"/>
        <v>16675.362620085813</v>
      </c>
      <c r="AO319" s="7">
        <f t="shared" si="121"/>
        <v>1125</v>
      </c>
    </row>
    <row r="320" spans="1:41" x14ac:dyDescent="0.2">
      <c r="A320">
        <f t="shared" si="122"/>
        <v>50</v>
      </c>
      <c r="B320" s="5">
        <f t="shared" si="123"/>
        <v>82.1</v>
      </c>
      <c r="C320" s="56">
        <f t="shared" si="124"/>
        <v>55854</v>
      </c>
      <c r="D320" s="57">
        <f ca="1">IF(AND(B319&lt;59.5,OR(B320&gt;59.5,B320=59.5)),(D319-E319+J319-K319)*(1+'Retirement Planning'!$J$23/12),(D319-E319)*(1+'Retirement Planning'!$J$23/12))</f>
        <v>706700.44646444311</v>
      </c>
      <c r="E320" s="58">
        <f t="shared" ca="1" si="111"/>
        <v>1627.9572048208029</v>
      </c>
      <c r="F320" s="57">
        <f ca="1">IF(AND(OR(B320&gt;59.5,B320=59.5),B319&lt;59.5),(F319-G319+L319-M319+N319-O319)*(1+'Retirement Planning'!$J$23/12),(F319-G319)*(1+'Retirement Planning'!$J$23/12))</f>
        <v>1366707.7036559386</v>
      </c>
      <c r="G320" s="58">
        <f ca="1">IF(AND($B$10&lt;55,B320&lt;59.5),'Retirement Planning'!$J$25,IF(OR(B320&gt;59.5,B320=59.5),MAX(0,MIN(F320,IF(D320&lt;2500,((Y320+AJ320+AA320))-X320,((Y320+AJ320+AA320)*'Retirement Planning'!$J$44)-X320))),0))</f>
        <v>11638.693722269507</v>
      </c>
      <c r="H320" s="255">
        <f ca="1">IF(MONTH(C320)=1,IF(B320&gt;69.5,F320/(INDEX('Retirement Planning'!D$1:D$264,(160+INT(B320))))/12,0),IF(F320=0,0,H319))</f>
        <v>11341.712469139873</v>
      </c>
      <c r="I320" s="262">
        <f t="shared" ca="1" si="112"/>
        <v>0</v>
      </c>
      <c r="J320" s="254">
        <f ca="1">IF(AND(B319&lt;59.5,OR(B320=59.5,B320&gt;59.5)),0,(J319-K319)*(1+'Retirement Planning'!$J$23/12))</f>
        <v>0</v>
      </c>
      <c r="K320" s="58">
        <f t="shared" ca="1" si="113"/>
        <v>0</v>
      </c>
      <c r="L320" s="57">
        <f>IF(AND(OR(B320&gt;59.5,B320=59.5),B319&lt;59.5),0,(L319-M319)*(1+'Retirement Planning'!$J$23/12))</f>
        <v>0</v>
      </c>
      <c r="M320" s="59">
        <f>IF(AND($B$10&lt;55,B320&lt;59.5),0,IF(B320&lt;59.5,MAX(0,MIN((($Y320+$AJ320+AA320)*'Retirement Planning'!$J$44)-$G320-$X320,L320)),0))</f>
        <v>0</v>
      </c>
      <c r="N320" s="57">
        <f ca="1">(N319-O319)*(1+'Retirement Planning'!$J$23/12)</f>
        <v>0</v>
      </c>
      <c r="O320" s="59">
        <f ca="1">IF(B320&gt;59.5,MAX(0,MIN((AA320+$Y320+$AJ320)*(IF(D320&lt;(MIN(E308:E319)+1),1,'Retirement Planning'!$J$44))-M320-$G320-$X320-(IF(D320&lt;(MIN(E308:E319)+1),D320,0)),N320)),0)</f>
        <v>0</v>
      </c>
      <c r="P320" s="57">
        <f t="shared" si="125"/>
        <v>0</v>
      </c>
      <c r="Q320" s="58">
        <f t="shared" si="126"/>
        <v>0</v>
      </c>
      <c r="R320" s="57">
        <f ca="1">(R319-S319-T319)*(1+'Retirement Planning'!$J$23/12)</f>
        <v>900224.87291948625</v>
      </c>
      <c r="S320" s="58">
        <f t="shared" ca="1" si="127"/>
        <v>808.33333333333337</v>
      </c>
      <c r="T320" s="273">
        <f t="shared" ca="1" si="114"/>
        <v>3.1832314562052488E-12</v>
      </c>
      <c r="U320" s="57">
        <f ca="1">(U319-V319)*(1+'Retirement Planning'!$J$23/12)</f>
        <v>579828.10577822477</v>
      </c>
      <c r="V320" s="24">
        <f ca="1">IF(AND($B$10&lt;55,B320&lt;59.5),MIN(U320,MAX(0,(Y320+AA320+AJ320-G320)*'Retirement Planning'!$J$45)),IF(B320&lt;59.5,(MIN(U320,MAX(0,((Y320+AA320+AJ320)-G320-M320)*'Retirement Planning'!$J$45))),MIN(U320,MAX(0,(Y320+AA320+AJ320-G320-M320-K320-X320)*'Retirement Planning'!$J$45))))</f>
        <v>1386.7783596621659</v>
      </c>
      <c r="W320" s="7">
        <f t="shared" ca="1" si="115"/>
        <v>3553461.1288180929</v>
      </c>
      <c r="X320" s="7">
        <f>(IF(B320&gt;'Retirement Planning'!$J$34,IF('Retirement Planning'!$J$34=70,'Retirement Planning'!$J$37/12,IF('Retirement Planning'!$J$34=67,'Retirement Planning'!$J$36/12,'Retirement Planning'!$J$35/12)),0))*'Retirement Planning'!$J$38</f>
        <v>1213.6000000000001</v>
      </c>
      <c r="Y320" s="7">
        <f ca="1">'Retirement Planning'!$F$35*((1+'Retirement Planning'!$J$24)^(YEAR('Projected Retirement Drawdown'!C320)-YEAR(TODAY())))</f>
        <v>12268.85301971791</v>
      </c>
      <c r="Z320" s="7">
        <f ca="1">G320+M320+O320+0.85*X320+V320*'Retirement Planning'!$J$46+T320</f>
        <v>13432.981820083702</v>
      </c>
      <c r="AA320" s="7">
        <f ca="1">IF(MONTH(C320)=1,(((MIN(MAX(0,((SUM(Z308:Z319)-'Retirement Planning'!$I$53-'Retirement Planning'!$I$54)-'Retirement Planning'!$J$51)*'Retirement Planning'!$I$52))))+(MIN(MAX(0,((SUM(Z308:Z319)-'Retirement Planning'!$I$53-'Retirement Planning'!$I$54)-'Retirement Planning'!$J$50)*'Retirement Planning'!$I$51),('Retirement Planning'!$J$51-'Retirement Planning'!$J$50)*'Retirement Planning'!$I$51))+(MIN(MAX(0,((SUM(Z308:Z319)-'Retirement Planning'!$I$53-'Retirement Planning'!$I$54)-'Retirement Planning'!$J$49)*'Retirement Planning'!$I$50),('Retirement Planning'!$J$50-'Retirement Planning'!$J$49)*'Retirement Planning'!$I$50)+MIN(MAX(0,((SUM(Z308:Z319)-'Retirement Planning'!$I$53-'Retirement Planning'!$I$54)-'Retirement Planning'!$J$48)*'Retirement Planning'!$I$49),('Retirement Planning'!$J$49-'Retirement Planning'!$J$48)*'Retirement Planning'!$I$49)+MIN(((SUM(Z308:Z319)-'Retirement Planning'!$I$53-'Retirement Planning'!$I$54))*'Retirement Planning'!$I$48,('Retirement Planning'!$J$48)*'Retirement Planning'!$I$48))+(IF((SUM(Z308:Z319)-'Retirement Planning'!$I$54-'Retirement Planning'!$I$61)&gt;'Retirement Planning'!$J$59,(SUM(Z308:Z319)-'Retirement Planning'!$I$54-'Retirement Planning'!$I$61-'Retirement Planning'!$J$59)*'Retirement Planning'!$I$60+'Retirement Planning'!$K$59,IF((SUM(Z308:Z319)-'Retirement Planning'!$I$54-'Retirement Planning'!$I$61)&gt;'Retirement Planning'!$J$58,(SUM(Z308:Z319)-'Retirement Planning'!$I$54-'Retirement Planning'!$I$61-'Retirement Planning'!$J$58)*'Retirement Planning'!$I$59+'Retirement Planning'!$K$58,IF((SUM(Z308:Z319)-'Retirement Planning'!$I$54-'Retirement Planning'!$I$61)&gt;'Retirement Planning'!$J$57,(SUM(Z308:Z319)-'Retirement Planning'!$I$54-'Retirement Planning'!$I$61-'Retirement Planning'!$J$57)*'Retirement Planning'!$I$58+'Retirement Planning'!$K$57,IF((SUM(Z308:Z319)-'Retirement Planning'!$I$54-'Retirement Planning'!$I$61)&gt;'Retirement Planning'!$J$56,(SUM(Z308:Z319)-'Retirement Planning'!$I$54-'Retirement Planning'!$I$61-'Retirement Planning'!$J$56)*'Retirement Planning'!$I$57+'Retirement Planning'!$K$56,(SUM(Z308:Z319)-'Retirement Planning'!$I$54-'Retirement Planning'!$I$61)*'Retirement Planning'!$I$56))))))/12,AA319)</f>
        <v>3281.5096003679009</v>
      </c>
      <c r="AB320" s="104">
        <f t="shared" ca="1" si="134"/>
        <v>0.25345495673605672</v>
      </c>
      <c r="AC320" s="7">
        <f>IF(B320&lt;65,'Retirement Planning'!$J$28,0)</f>
        <v>0</v>
      </c>
      <c r="AD320" s="7">
        <f>IF(B320&lt;65,'Retirement Planning'!$J$29/12,0)</f>
        <v>0</v>
      </c>
      <c r="AE320" s="22">
        <f>'Retirement Planning'!$J$31/12</f>
        <v>58.333333333333336</v>
      </c>
      <c r="AF320" s="22">
        <f>'Retirement Planning'!$J$32/12</f>
        <v>66.666666666666671</v>
      </c>
      <c r="AG320" s="7">
        <f>IF($B320&gt;64.9,'Retirement Planning'!$J$39/12,0)</f>
        <v>183.33333333333334</v>
      </c>
      <c r="AH320" s="7">
        <f>IF($B320&gt;64.9,'Retirement Planning'!$J$40/12,0)</f>
        <v>258.33333333333331</v>
      </c>
      <c r="AI320" s="7">
        <f>IF($B320&gt;64.9,'Retirement Planning'!$J$41/12,0)</f>
        <v>558.33333333333337</v>
      </c>
      <c r="AJ320" s="7">
        <f t="shared" ca="1" si="116"/>
        <v>316.66666666666663</v>
      </c>
      <c r="AK320" s="3" t="str">
        <f t="shared" ca="1" si="117"/>
        <v>N/A</v>
      </c>
      <c r="AL320" s="6" t="str">
        <f t="shared" ca="1" si="118"/>
        <v>N/A</v>
      </c>
      <c r="AM320" s="7">
        <f t="shared" ca="1" si="119"/>
        <v>-6.8212102632969618E-13</v>
      </c>
      <c r="AN320" s="7">
        <f t="shared" ca="1" si="120"/>
        <v>16675.362620085813</v>
      </c>
      <c r="AO320" s="7">
        <f t="shared" si="121"/>
        <v>1125</v>
      </c>
    </row>
    <row r="321" spans="1:41" x14ac:dyDescent="0.2">
      <c r="A321">
        <f t="shared" si="122"/>
        <v>50</v>
      </c>
      <c r="B321" s="5">
        <f t="shared" si="123"/>
        <v>82.2</v>
      </c>
      <c r="C321" s="56">
        <f t="shared" si="124"/>
        <v>55885</v>
      </c>
      <c r="D321" s="57">
        <f ca="1">IF(AND(B320&lt;59.5,OR(B321&gt;59.5,B321=59.5)),(D320-E320+J320-K320)*(1+'Retirement Planning'!$J$23/12),(D320-E320)*(1+'Retirement Planning'!$J$23/12))</f>
        <v>710066.75272521132</v>
      </c>
      <c r="E321" s="58">
        <f t="shared" ca="1" si="111"/>
        <v>1688.1606658814508</v>
      </c>
      <c r="F321" s="57">
        <f ca="1">IF(AND(OR(B321&gt;59.5,B321=59.5),B320&lt;59.5),(F320-G320+L320-M320+N320-O320)*(1+'Retirement Planning'!$J$23/12),(F320-G320)*(1+'Retirement Planning'!$J$23/12))</f>
        <v>1364667.4154206992</v>
      </c>
      <c r="G321" s="58">
        <f ca="1">IF(AND($B$10&lt;55,B321&lt;59.5),'Retirement Planning'!$J$25,IF(OR(B321&gt;59.5,B321=59.5),MAX(0,MIN(F321,IF(D321&lt;2500,((Y321+AJ321+AA321))-X321,((Y321+AJ321+AA321)*'Retirement Planning'!$J$44)-X321))),0))</f>
        <v>12113.984204327253</v>
      </c>
      <c r="H321" s="255">
        <f ca="1">IF(MONTH(C321)=1,IF(B321&gt;69.5,F321/(INDEX('Retirement Planning'!D$1:D$264,(160+INT(B321))))/12,0),IF(F321=0,0,H320))</f>
        <v>11723.946867875422</v>
      </c>
      <c r="I321" s="262">
        <f t="shared" ca="1" si="112"/>
        <v>0</v>
      </c>
      <c r="J321" s="254">
        <f ca="1">IF(AND(B320&lt;59.5,OR(B321=59.5,B321&gt;59.5)),0,(J320-K320)*(1+'Retirement Planning'!$J$23/12))</f>
        <v>0</v>
      </c>
      <c r="K321" s="58">
        <f t="shared" ca="1" si="113"/>
        <v>0</v>
      </c>
      <c r="L321" s="57">
        <f>IF(AND(OR(B321&gt;59.5,B321=59.5),B320&lt;59.5),0,(L320-M320)*(1+'Retirement Planning'!$J$23/12))</f>
        <v>0</v>
      </c>
      <c r="M321" s="59">
        <f>IF(AND($B$10&lt;55,B321&lt;59.5),0,IF(B321&lt;59.5,MAX(0,MIN((($Y321+$AJ321+AA321)*'Retirement Planning'!$J$44)-$G321-$X321,L321)),0))</f>
        <v>0</v>
      </c>
      <c r="N321" s="57">
        <f ca="1">(N320-O320)*(1+'Retirement Planning'!$J$23/12)</f>
        <v>0</v>
      </c>
      <c r="O321" s="59">
        <f ca="1">IF(B321&gt;59.5,MAX(0,MIN((AA321+$Y321+$AJ321)*(IF(D321&lt;(MIN(E309:E320)+1),1,'Retirement Planning'!$J$44))-M321-$G321-$X321-(IF(D321&lt;(MIN(E309:E320)+1),D321,0)),N321)),0)</f>
        <v>0</v>
      </c>
      <c r="P321" s="57">
        <f t="shared" si="125"/>
        <v>0</v>
      </c>
      <c r="Q321" s="58">
        <f t="shared" si="126"/>
        <v>0</v>
      </c>
      <c r="R321" s="57">
        <f ca="1">(R320-S320-T320)*(1+'Retirement Planning'!$J$23/12)</f>
        <v>905787.40674155485</v>
      </c>
      <c r="S321" s="58">
        <f t="shared" ca="1" si="127"/>
        <v>808.33333333333337</v>
      </c>
      <c r="T321" s="273">
        <f t="shared" ca="1" si="114"/>
        <v>-4.5474735088646412E-13</v>
      </c>
      <c r="U321" s="57">
        <f ca="1">(U320-V320)*(1+'Retirement Planning'!$J$23/12)</f>
        <v>582538.62015444413</v>
      </c>
      <c r="V321" s="24">
        <f ca="1">IF(AND($B$10&lt;55,B321&lt;59.5),MIN(U321,MAX(0,(Y321+AA321+AJ321-G321)*'Retirement Planning'!$J$45)),IF(B321&lt;59.5,(MIN(U321,MAX(0,((Y321+AA321+AJ321)-G321-M321)*'Retirement Planning'!$J$45))),MIN(U321,MAX(0,(Y321+AA321+AJ321-G321-M321-K321-X321)*'Retirement Planning'!$J$45))))</f>
        <v>1438.0627894545698</v>
      </c>
      <c r="W321" s="7">
        <f t="shared" ca="1" si="115"/>
        <v>3563060.1950419093</v>
      </c>
      <c r="X321" s="7">
        <f>(IF(B321&gt;'Retirement Planning'!$J$34,IF('Retirement Planning'!$J$34=70,'Retirement Planning'!$J$37/12,IF('Retirement Planning'!$J$34=67,'Retirement Planning'!$J$36/12,'Retirement Planning'!$J$35/12)),0))*'Retirement Planning'!$J$38</f>
        <v>1213.6000000000001</v>
      </c>
      <c r="Y321" s="7">
        <f ca="1">'Retirement Planning'!$F$35*((1+'Retirement Planning'!$J$24)^(YEAR('Projected Retirement Drawdown'!C321)-YEAR(TODAY())))</f>
        <v>12698.262875408038</v>
      </c>
      <c r="Z321" s="7">
        <f ca="1">G321+M321+O321+0.85*X321+V321*'Retirement Planning'!$J$46+T321</f>
        <v>13936.478738527267</v>
      </c>
      <c r="AA321" s="7">
        <f ca="1">IF(MONTH(C321)=1,(((MIN(MAX(0,((SUM(Z309:Z320)-'Retirement Planning'!$I$53-'Retirement Planning'!$I$54)-'Retirement Planning'!$J$51)*'Retirement Planning'!$I$52))))+(MIN(MAX(0,((SUM(Z309:Z320)-'Retirement Planning'!$I$53-'Retirement Planning'!$I$54)-'Retirement Planning'!$J$50)*'Retirement Planning'!$I$51),('Retirement Planning'!$J$51-'Retirement Planning'!$J$50)*'Retirement Planning'!$I$51))+(MIN(MAX(0,((SUM(Z309:Z320)-'Retirement Planning'!$I$53-'Retirement Planning'!$I$54)-'Retirement Planning'!$J$49)*'Retirement Planning'!$I$50),('Retirement Planning'!$J$50-'Retirement Planning'!$J$49)*'Retirement Planning'!$I$50)+MIN(MAX(0,((SUM(Z309:Z320)-'Retirement Planning'!$I$53-'Retirement Planning'!$I$54)-'Retirement Planning'!$J$48)*'Retirement Planning'!$I$49),('Retirement Planning'!$J$49-'Retirement Planning'!$J$48)*'Retirement Planning'!$I$49)+MIN(((SUM(Z309:Z320)-'Retirement Planning'!$I$53-'Retirement Planning'!$I$54))*'Retirement Planning'!$I$48,('Retirement Planning'!$J$48)*'Retirement Planning'!$I$48))+(IF((SUM(Z309:Z320)-'Retirement Planning'!$I$54-'Retirement Planning'!$I$61)&gt;'Retirement Planning'!$J$59,(SUM(Z309:Z320)-'Retirement Planning'!$I$54-'Retirement Planning'!$I$61-'Retirement Planning'!$J$59)*'Retirement Planning'!$I$60+'Retirement Planning'!$K$59,IF((SUM(Z309:Z320)-'Retirement Planning'!$I$54-'Retirement Planning'!$I$61)&gt;'Retirement Planning'!$J$58,(SUM(Z309:Z320)-'Retirement Planning'!$I$54-'Retirement Planning'!$I$61-'Retirement Planning'!$J$58)*'Retirement Planning'!$I$59+'Retirement Planning'!$K$58,IF((SUM(Z309:Z320)-'Retirement Planning'!$I$54-'Retirement Planning'!$I$61)&gt;'Retirement Planning'!$J$57,(SUM(Z309:Z320)-'Retirement Planning'!$I$54-'Retirement Planning'!$I$61-'Retirement Planning'!$J$57)*'Retirement Planning'!$I$58+'Retirement Planning'!$K$57,IF((SUM(Z309:Z320)-'Retirement Planning'!$I$54-'Retirement Planning'!$I$61)&gt;'Retirement Planning'!$J$56,(SUM(Z309:Z320)-'Retirement Planning'!$I$54-'Retirement Planning'!$I$61-'Retirement Planning'!$J$56)*'Retirement Planning'!$I$57+'Retirement Planning'!$K$56,(SUM(Z309:Z320)-'Retirement Planning'!$I$54-'Retirement Planning'!$I$61)*'Retirement Planning'!$I$56))))))/12,AA320)</f>
        <v>3438.8781175885688</v>
      </c>
      <c r="AB321" s="104">
        <f t="shared" ref="AB321" ca="1" si="137">SUM(AA321:AA332)/SUM(Z309:Z320)</f>
        <v>0.25600258852781954</v>
      </c>
      <c r="AC321" s="7">
        <f>IF(B321&lt;65,'Retirement Planning'!$J$28,0)</f>
        <v>0</v>
      </c>
      <c r="AD321" s="7">
        <f>IF(B321&lt;65,'Retirement Planning'!$J$29/12,0)</f>
        <v>0</v>
      </c>
      <c r="AE321" s="22">
        <f>'Retirement Planning'!$J$31/12</f>
        <v>58.333333333333336</v>
      </c>
      <c r="AF321" s="22">
        <f>'Retirement Planning'!$J$32/12</f>
        <v>66.666666666666671</v>
      </c>
      <c r="AG321" s="7">
        <f>IF($B321&gt;64.9,'Retirement Planning'!$J$39/12,0)</f>
        <v>183.33333333333334</v>
      </c>
      <c r="AH321" s="7">
        <f>IF($B321&gt;64.9,'Retirement Planning'!$J$40/12,0)</f>
        <v>258.33333333333331</v>
      </c>
      <c r="AI321" s="7">
        <f>IF($B321&gt;64.9,'Retirement Planning'!$J$41/12,0)</f>
        <v>558.33333333333337</v>
      </c>
      <c r="AJ321" s="7">
        <f t="shared" ca="1" si="116"/>
        <v>316.66666666666663</v>
      </c>
      <c r="AK321" s="3" t="str">
        <f t="shared" ca="1" si="117"/>
        <v>N/A</v>
      </c>
      <c r="AL321" s="6" t="str">
        <f t="shared" ca="1" si="118"/>
        <v>N/A</v>
      </c>
      <c r="AM321" s="7">
        <f t="shared" ca="1" si="119"/>
        <v>-4.3200998334214091E-12</v>
      </c>
      <c r="AN321" s="7">
        <f t="shared" ca="1" si="120"/>
        <v>17262.140992996607</v>
      </c>
      <c r="AO321" s="7">
        <f t="shared" si="121"/>
        <v>1125</v>
      </c>
    </row>
    <row r="322" spans="1:41" x14ac:dyDescent="0.2">
      <c r="A322">
        <f t="shared" si="122"/>
        <v>50</v>
      </c>
      <c r="B322" s="5">
        <f t="shared" si="123"/>
        <v>82.3</v>
      </c>
      <c r="C322" s="56">
        <f t="shared" si="124"/>
        <v>55916</v>
      </c>
      <c r="D322" s="57">
        <f ca="1">IF(AND(B321&lt;59.5,OR(B322&gt;59.5,B322=59.5)),(D321-E321+J321-K321)*(1+'Retirement Planning'!$J$23/12),(D321-E321)*(1+'Retirement Planning'!$J$23/12))</f>
        <v>713396.27375308343</v>
      </c>
      <c r="E322" s="58">
        <f t="shared" ca="1" si="111"/>
        <v>1688.1606658814508</v>
      </c>
      <c r="F322" s="57">
        <f ca="1">IF(AND(OR(B322&gt;59.5,B322=59.5),B321&lt;59.5),(F321-G321+L321-M321+N321-O321)*(1+'Retirement Planning'!$J$23/12),(F321-G321)*(1+'Retirement Planning'!$J$23/12))</f>
        <v>1362134.0180208213</v>
      </c>
      <c r="G322" s="58">
        <f ca="1">IF(AND($B$10&lt;55,B322&lt;59.5),'Retirement Planning'!$J$25,IF(OR(B322&gt;59.5,B322=59.5),MAX(0,MIN(F322,IF(D322&lt;2500,((Y322+AJ322+AA322))-X322,((Y322+AJ322+AA322)*'Retirement Planning'!$J$44)-X322))),0))</f>
        <v>12113.984204327253</v>
      </c>
      <c r="H322" s="255">
        <f ca="1">IF(MONTH(C322)=1,IF(B322&gt;69.5,F322/(INDEX('Retirement Planning'!D$1:D$264,(160+INT(B322))))/12,0),IF(F322=0,0,H321))</f>
        <v>11723.946867875422</v>
      </c>
      <c r="I322" s="262">
        <f t="shared" ca="1" si="112"/>
        <v>0</v>
      </c>
      <c r="J322" s="254">
        <f ca="1">IF(AND(B321&lt;59.5,OR(B322=59.5,B322&gt;59.5)),0,(J321-K321)*(1+'Retirement Planning'!$J$23/12))</f>
        <v>0</v>
      </c>
      <c r="K322" s="58">
        <f t="shared" ca="1" si="113"/>
        <v>0</v>
      </c>
      <c r="L322" s="57">
        <f>IF(AND(OR(B322&gt;59.5,B322=59.5),B321&lt;59.5),0,(L321-M321)*(1+'Retirement Planning'!$J$23/12))</f>
        <v>0</v>
      </c>
      <c r="M322" s="59">
        <f>IF(AND($B$10&lt;55,B322&lt;59.5),0,IF(B322&lt;59.5,MAX(0,MIN((($Y322+$AJ322+AA322)*'Retirement Planning'!$J$44)-$G322-$X322,L322)),0))</f>
        <v>0</v>
      </c>
      <c r="N322" s="57">
        <f ca="1">(N321-O321)*(1+'Retirement Planning'!$J$23/12)</f>
        <v>0</v>
      </c>
      <c r="O322" s="59">
        <f ca="1">IF(B322&gt;59.5,MAX(0,MIN((AA322+$Y322+$AJ322)*(IF(D322&lt;(MIN(E310:E321)+1),1,'Retirement Planning'!$J$44))-M322-$G322-$X322-(IF(D322&lt;(MIN(E310:E321)+1),D322,0)),N322)),0)</f>
        <v>0</v>
      </c>
      <c r="P322" s="57">
        <f t="shared" si="125"/>
        <v>0</v>
      </c>
      <c r="Q322" s="58">
        <f t="shared" si="126"/>
        <v>0</v>
      </c>
      <c r="R322" s="57">
        <f ca="1">(R321-S321-T321)*(1+'Retirement Planning'!$J$23/12)</f>
        <v>911389.34184486303</v>
      </c>
      <c r="S322" s="58">
        <f t="shared" ca="1" si="127"/>
        <v>808.33333333333337</v>
      </c>
      <c r="T322" s="273">
        <f t="shared" ca="1" si="114"/>
        <v>-4.5474735088646412E-13</v>
      </c>
      <c r="U322" s="57">
        <f ca="1">(U321-V321)*(1+'Retirement Planning'!$J$23/12)</f>
        <v>585216.68631299154</v>
      </c>
      <c r="V322" s="24">
        <f ca="1">IF(AND($B$10&lt;55,B322&lt;59.5),MIN(U322,MAX(0,(Y322+AA322+AJ322-G322)*'Retirement Planning'!$J$45)),IF(B322&lt;59.5,(MIN(U322,MAX(0,((Y322+AA322+AJ322)-G322-M322)*'Retirement Planning'!$J$45))),MIN(U322,MAX(0,(Y322+AA322+AJ322-G322-M322-K322-X322)*'Retirement Planning'!$J$45))))</f>
        <v>1438.0627894545698</v>
      </c>
      <c r="W322" s="7">
        <f t="shared" ca="1" si="115"/>
        <v>3572136.319931759</v>
      </c>
      <c r="X322" s="7">
        <f>(IF(B322&gt;'Retirement Planning'!$J$34,IF('Retirement Planning'!$J$34=70,'Retirement Planning'!$J$37/12,IF('Retirement Planning'!$J$34=67,'Retirement Planning'!$J$36/12,'Retirement Planning'!$J$35/12)),0))*'Retirement Planning'!$J$38</f>
        <v>1213.6000000000001</v>
      </c>
      <c r="Y322" s="7">
        <f ca="1">'Retirement Planning'!$F$35*((1+'Retirement Planning'!$J$24)^(YEAR('Projected Retirement Drawdown'!C322)-YEAR(TODAY())))</f>
        <v>12698.262875408038</v>
      </c>
      <c r="Z322" s="7">
        <f ca="1">G322+M322+O322+0.85*X322+V322*'Retirement Planning'!$J$46+T322</f>
        <v>13936.478738527267</v>
      </c>
      <c r="AA322" s="7">
        <f ca="1">IF(MONTH(C322)=1,(((MIN(MAX(0,((SUM(Z310:Z321)-'Retirement Planning'!$I$53-'Retirement Planning'!$I$54)-'Retirement Planning'!$J$51)*'Retirement Planning'!$I$52))))+(MIN(MAX(0,((SUM(Z310:Z321)-'Retirement Planning'!$I$53-'Retirement Planning'!$I$54)-'Retirement Planning'!$J$50)*'Retirement Planning'!$I$51),('Retirement Planning'!$J$51-'Retirement Planning'!$J$50)*'Retirement Planning'!$I$51))+(MIN(MAX(0,((SUM(Z310:Z321)-'Retirement Planning'!$I$53-'Retirement Planning'!$I$54)-'Retirement Planning'!$J$49)*'Retirement Planning'!$I$50),('Retirement Planning'!$J$50-'Retirement Planning'!$J$49)*'Retirement Planning'!$I$50)+MIN(MAX(0,((SUM(Z310:Z321)-'Retirement Planning'!$I$53-'Retirement Planning'!$I$54)-'Retirement Planning'!$J$48)*'Retirement Planning'!$I$49),('Retirement Planning'!$J$49-'Retirement Planning'!$J$48)*'Retirement Planning'!$I$49)+MIN(((SUM(Z310:Z321)-'Retirement Planning'!$I$53-'Retirement Planning'!$I$54))*'Retirement Planning'!$I$48,('Retirement Planning'!$J$48)*'Retirement Planning'!$I$48))+(IF((SUM(Z310:Z321)-'Retirement Planning'!$I$54-'Retirement Planning'!$I$61)&gt;'Retirement Planning'!$J$59,(SUM(Z310:Z321)-'Retirement Planning'!$I$54-'Retirement Planning'!$I$61-'Retirement Planning'!$J$59)*'Retirement Planning'!$I$60+'Retirement Planning'!$K$59,IF((SUM(Z310:Z321)-'Retirement Planning'!$I$54-'Retirement Planning'!$I$61)&gt;'Retirement Planning'!$J$58,(SUM(Z310:Z321)-'Retirement Planning'!$I$54-'Retirement Planning'!$I$61-'Retirement Planning'!$J$58)*'Retirement Planning'!$I$59+'Retirement Planning'!$K$58,IF((SUM(Z310:Z321)-'Retirement Planning'!$I$54-'Retirement Planning'!$I$61)&gt;'Retirement Planning'!$J$57,(SUM(Z310:Z321)-'Retirement Planning'!$I$54-'Retirement Planning'!$I$61-'Retirement Planning'!$J$57)*'Retirement Planning'!$I$58+'Retirement Planning'!$K$57,IF((SUM(Z310:Z321)-'Retirement Planning'!$I$54-'Retirement Planning'!$I$61)&gt;'Retirement Planning'!$J$56,(SUM(Z310:Z321)-'Retirement Planning'!$I$54-'Retirement Planning'!$I$61-'Retirement Planning'!$J$56)*'Retirement Planning'!$I$57+'Retirement Planning'!$K$56,(SUM(Z310:Z321)-'Retirement Planning'!$I$54-'Retirement Planning'!$I$61)*'Retirement Planning'!$I$56))))))/12,AA321)</f>
        <v>3438.8781175885688</v>
      </c>
      <c r="AB322" s="104">
        <f t="shared" ref="AB322:AB353" ca="1" si="138">AB321</f>
        <v>0.25600258852781954</v>
      </c>
      <c r="AC322" s="7">
        <f>IF(B322&lt;65,'Retirement Planning'!$J$28,0)</f>
        <v>0</v>
      </c>
      <c r="AD322" s="7">
        <f>IF(B322&lt;65,'Retirement Planning'!$J$29/12,0)</f>
        <v>0</v>
      </c>
      <c r="AE322" s="22">
        <f>'Retirement Planning'!$J$31/12</f>
        <v>58.333333333333336</v>
      </c>
      <c r="AF322" s="22">
        <f>'Retirement Planning'!$J$32/12</f>
        <v>66.666666666666671</v>
      </c>
      <c r="AG322" s="7">
        <f>IF($B322&gt;64.9,'Retirement Planning'!$J$39/12,0)</f>
        <v>183.33333333333334</v>
      </c>
      <c r="AH322" s="7">
        <f>IF($B322&gt;64.9,'Retirement Planning'!$J$40/12,0)</f>
        <v>258.33333333333331</v>
      </c>
      <c r="AI322" s="7">
        <f>IF($B322&gt;64.9,'Retirement Planning'!$J$41/12,0)</f>
        <v>558.33333333333337</v>
      </c>
      <c r="AJ322" s="7">
        <f t="shared" ca="1" si="116"/>
        <v>316.66666666666663</v>
      </c>
      <c r="AK322" s="3" t="str">
        <f t="shared" ca="1" si="117"/>
        <v>N/A</v>
      </c>
      <c r="AL322" s="6" t="str">
        <f t="shared" ca="1" si="118"/>
        <v>N/A</v>
      </c>
      <c r="AM322" s="7">
        <f t="shared" ca="1" si="119"/>
        <v>-4.3200998334214091E-12</v>
      </c>
      <c r="AN322" s="7">
        <f t="shared" ca="1" si="120"/>
        <v>17262.140992996607</v>
      </c>
      <c r="AO322" s="7">
        <f t="shared" si="121"/>
        <v>1125</v>
      </c>
    </row>
    <row r="323" spans="1:41" x14ac:dyDescent="0.2">
      <c r="A323">
        <f t="shared" si="122"/>
        <v>50</v>
      </c>
      <c r="B323" s="5">
        <f t="shared" si="123"/>
        <v>82.4</v>
      </c>
      <c r="C323" s="56">
        <f t="shared" si="124"/>
        <v>55944</v>
      </c>
      <c r="D323" s="57">
        <f ca="1">IF(AND(B322&lt;59.5,OR(B323&gt;59.5,B323=59.5)),(D322-E322+J322-K322)*(1+'Retirement Planning'!$J$23/12),(D322-E322)*(1+'Retirement Planning'!$J$23/12))</f>
        <v>716749.37888823636</v>
      </c>
      <c r="E323" s="58">
        <f t="shared" ca="1" si="111"/>
        <v>1688.1606658814508</v>
      </c>
      <c r="F323" s="57">
        <f ca="1">IF(AND(OR(B323&gt;59.5,B323=59.5),B322&lt;59.5),(F322-G322+L322-M322+N322-O322)*(1+'Retirement Planning'!$J$23/12),(F322-G322)*(1+'Retirement Planning'!$J$23/12))</f>
        <v>1359582.6757226943</v>
      </c>
      <c r="G323" s="58">
        <f ca="1">IF(AND($B$10&lt;55,B323&lt;59.5),'Retirement Planning'!$J$25,IF(OR(B323&gt;59.5,B323=59.5),MAX(0,MIN(F323,IF(D323&lt;2500,((Y323+AJ323+AA323))-X323,((Y323+AJ323+AA323)*'Retirement Planning'!$J$44)-X323))),0))</f>
        <v>12113.984204327253</v>
      </c>
      <c r="H323" s="255">
        <f ca="1">IF(MONTH(C323)=1,IF(B323&gt;69.5,F323/(INDEX('Retirement Planning'!D$1:D$264,(160+INT(B323))))/12,0),IF(F323=0,0,H322))</f>
        <v>11723.946867875422</v>
      </c>
      <c r="I323" s="262">
        <f t="shared" ca="1" si="112"/>
        <v>0</v>
      </c>
      <c r="J323" s="254">
        <f ca="1">IF(AND(B322&lt;59.5,OR(B323=59.5,B323&gt;59.5)),0,(J322-K322)*(1+'Retirement Planning'!$J$23/12))</f>
        <v>0</v>
      </c>
      <c r="K323" s="58">
        <f t="shared" ca="1" si="113"/>
        <v>0</v>
      </c>
      <c r="L323" s="57">
        <f>IF(AND(OR(B323&gt;59.5,B323=59.5),B322&lt;59.5),0,(L322-M322)*(1+'Retirement Planning'!$J$23/12))</f>
        <v>0</v>
      </c>
      <c r="M323" s="59">
        <f>IF(AND($B$10&lt;55,B323&lt;59.5),0,IF(B323&lt;59.5,MAX(0,MIN((($Y323+$AJ323+AA323)*'Retirement Planning'!$J$44)-$G323-$X323,L323)),0))</f>
        <v>0</v>
      </c>
      <c r="N323" s="57">
        <f ca="1">(N322-O322)*(1+'Retirement Planning'!$J$23/12)</f>
        <v>0</v>
      </c>
      <c r="O323" s="59">
        <f ca="1">IF(B323&gt;59.5,MAX(0,MIN((AA323+$Y323+$AJ323)*(IF(D323&lt;(MIN(E311:E322)+1),1,'Retirement Planning'!$J$44))-M323-$G323-$X323-(IF(D323&lt;(MIN(E311:E322)+1),D323,0)),N323)),0)</f>
        <v>0</v>
      </c>
      <c r="P323" s="57">
        <f t="shared" si="125"/>
        <v>0</v>
      </c>
      <c r="Q323" s="58">
        <f t="shared" si="126"/>
        <v>0</v>
      </c>
      <c r="R323" s="57">
        <f ca="1">(R322-S322-T322)*(1+'Retirement Planning'!$J$23/12)</f>
        <v>917030.95732181962</v>
      </c>
      <c r="S323" s="58">
        <f t="shared" ca="1" si="127"/>
        <v>808.33333333333337</v>
      </c>
      <c r="T323" s="273">
        <f t="shared" ca="1" si="114"/>
        <v>-4.5474735088646412E-13</v>
      </c>
      <c r="U323" s="57">
        <f ca="1">(U322-V322)*(1+'Retirement Planning'!$J$23/12)</f>
        <v>587913.7221068287</v>
      </c>
      <c r="V323" s="24">
        <f ca="1">IF(AND($B$10&lt;55,B323&lt;59.5),MIN(U323,MAX(0,(Y323+AA323+AJ323-G323)*'Retirement Planning'!$J$45)),IF(B323&lt;59.5,(MIN(U323,MAX(0,((Y323+AA323+AJ323)-G323-M323)*'Retirement Planning'!$J$45))),MIN(U323,MAX(0,(Y323+AA323+AJ323-G323-M323-K323-X323)*'Retirement Planning'!$J$45))))</f>
        <v>1438.0627894545698</v>
      </c>
      <c r="W323" s="7">
        <f t="shared" ca="1" si="115"/>
        <v>3581276.7340395791</v>
      </c>
      <c r="X323" s="7">
        <f>(IF(B323&gt;'Retirement Planning'!$J$34,IF('Retirement Planning'!$J$34=70,'Retirement Planning'!$J$37/12,IF('Retirement Planning'!$J$34=67,'Retirement Planning'!$J$36/12,'Retirement Planning'!$J$35/12)),0))*'Retirement Planning'!$J$38</f>
        <v>1213.6000000000001</v>
      </c>
      <c r="Y323" s="7">
        <f ca="1">'Retirement Planning'!$F$35*((1+'Retirement Planning'!$J$24)^(YEAR('Projected Retirement Drawdown'!C323)-YEAR(TODAY())))</f>
        <v>12698.262875408038</v>
      </c>
      <c r="Z323" s="7">
        <f ca="1">G323+M323+O323+0.85*X323+V323*'Retirement Planning'!$J$46+T323</f>
        <v>13936.478738527267</v>
      </c>
      <c r="AA323" s="7">
        <f ca="1">IF(MONTH(C323)=1,(((MIN(MAX(0,((SUM(Z311:Z322)-'Retirement Planning'!$I$53-'Retirement Planning'!$I$54)-'Retirement Planning'!$J$51)*'Retirement Planning'!$I$52))))+(MIN(MAX(0,((SUM(Z311:Z322)-'Retirement Planning'!$I$53-'Retirement Planning'!$I$54)-'Retirement Planning'!$J$50)*'Retirement Planning'!$I$51),('Retirement Planning'!$J$51-'Retirement Planning'!$J$50)*'Retirement Planning'!$I$51))+(MIN(MAX(0,((SUM(Z311:Z322)-'Retirement Planning'!$I$53-'Retirement Planning'!$I$54)-'Retirement Planning'!$J$49)*'Retirement Planning'!$I$50),('Retirement Planning'!$J$50-'Retirement Planning'!$J$49)*'Retirement Planning'!$I$50)+MIN(MAX(0,((SUM(Z311:Z322)-'Retirement Planning'!$I$53-'Retirement Planning'!$I$54)-'Retirement Planning'!$J$48)*'Retirement Planning'!$I$49),('Retirement Planning'!$J$49-'Retirement Planning'!$J$48)*'Retirement Planning'!$I$49)+MIN(((SUM(Z311:Z322)-'Retirement Planning'!$I$53-'Retirement Planning'!$I$54))*'Retirement Planning'!$I$48,('Retirement Planning'!$J$48)*'Retirement Planning'!$I$48))+(IF((SUM(Z311:Z322)-'Retirement Planning'!$I$54-'Retirement Planning'!$I$61)&gt;'Retirement Planning'!$J$59,(SUM(Z311:Z322)-'Retirement Planning'!$I$54-'Retirement Planning'!$I$61-'Retirement Planning'!$J$59)*'Retirement Planning'!$I$60+'Retirement Planning'!$K$59,IF((SUM(Z311:Z322)-'Retirement Planning'!$I$54-'Retirement Planning'!$I$61)&gt;'Retirement Planning'!$J$58,(SUM(Z311:Z322)-'Retirement Planning'!$I$54-'Retirement Planning'!$I$61-'Retirement Planning'!$J$58)*'Retirement Planning'!$I$59+'Retirement Planning'!$K$58,IF((SUM(Z311:Z322)-'Retirement Planning'!$I$54-'Retirement Planning'!$I$61)&gt;'Retirement Planning'!$J$57,(SUM(Z311:Z322)-'Retirement Planning'!$I$54-'Retirement Planning'!$I$61-'Retirement Planning'!$J$57)*'Retirement Planning'!$I$58+'Retirement Planning'!$K$57,IF((SUM(Z311:Z322)-'Retirement Planning'!$I$54-'Retirement Planning'!$I$61)&gt;'Retirement Planning'!$J$56,(SUM(Z311:Z322)-'Retirement Planning'!$I$54-'Retirement Planning'!$I$61-'Retirement Planning'!$J$56)*'Retirement Planning'!$I$57+'Retirement Planning'!$K$56,(SUM(Z311:Z322)-'Retirement Planning'!$I$54-'Retirement Planning'!$I$61)*'Retirement Planning'!$I$56))))))/12,AA322)</f>
        <v>3438.8781175885688</v>
      </c>
      <c r="AB323" s="104">
        <f t="shared" ca="1" si="134"/>
        <v>0.25600258852781954</v>
      </c>
      <c r="AC323" s="7">
        <f>IF(B323&lt;65,'Retirement Planning'!$J$28,0)</f>
        <v>0</v>
      </c>
      <c r="AD323" s="7">
        <f>IF(B323&lt;65,'Retirement Planning'!$J$29/12,0)</f>
        <v>0</v>
      </c>
      <c r="AE323" s="22">
        <f>'Retirement Planning'!$J$31/12</f>
        <v>58.333333333333336</v>
      </c>
      <c r="AF323" s="22">
        <f>'Retirement Planning'!$J$32/12</f>
        <v>66.666666666666671</v>
      </c>
      <c r="AG323" s="7">
        <f>IF($B323&gt;64.9,'Retirement Planning'!$J$39/12,0)</f>
        <v>183.33333333333334</v>
      </c>
      <c r="AH323" s="7">
        <f>IF($B323&gt;64.9,'Retirement Planning'!$J$40/12,0)</f>
        <v>258.33333333333331</v>
      </c>
      <c r="AI323" s="7">
        <f>IF($B323&gt;64.9,'Retirement Planning'!$J$41/12,0)</f>
        <v>558.33333333333337</v>
      </c>
      <c r="AJ323" s="7">
        <f t="shared" ca="1" si="116"/>
        <v>316.66666666666663</v>
      </c>
      <c r="AK323" s="3" t="str">
        <f t="shared" ca="1" si="117"/>
        <v>N/A</v>
      </c>
      <c r="AL323" s="6" t="str">
        <f t="shared" ca="1" si="118"/>
        <v>N/A</v>
      </c>
      <c r="AM323" s="7">
        <f t="shared" ca="1" si="119"/>
        <v>-4.3200998334214091E-12</v>
      </c>
      <c r="AN323" s="7">
        <f t="shared" ca="1" si="120"/>
        <v>17262.140992996607</v>
      </c>
      <c r="AO323" s="7">
        <f t="shared" si="121"/>
        <v>1125</v>
      </c>
    </row>
    <row r="324" spans="1:41" x14ac:dyDescent="0.2">
      <c r="A324">
        <f t="shared" si="122"/>
        <v>50</v>
      </c>
      <c r="B324" s="5">
        <f t="shared" si="123"/>
        <v>82.5</v>
      </c>
      <c r="C324" s="56">
        <f t="shared" si="124"/>
        <v>55975</v>
      </c>
      <c r="D324" s="57">
        <f ca="1">IF(AND(B323&lt;59.5,OR(B324&gt;59.5,B324=59.5)),(D323-E323+J323-K323)*(1+'Retirement Planning'!$J$23/12),(D323-E323)*(1+'Retirement Planning'!$J$23/12))</f>
        <v>720126.23518476321</v>
      </c>
      <c r="E324" s="58">
        <f t="shared" ca="1" si="111"/>
        <v>1688.1606658814508</v>
      </c>
      <c r="F324" s="57">
        <f ca="1">IF(AND(OR(B324&gt;59.5,B324=59.5),B323&lt;59.5),(F323-G323+L323-M323+N323-O323)*(1+'Retirement Planning'!$J$23/12),(F323-G323)*(1+'Retirement Planning'!$J$23/12))</f>
        <v>1357013.2614166222</v>
      </c>
      <c r="G324" s="58">
        <f ca="1">IF(AND($B$10&lt;55,B324&lt;59.5),'Retirement Planning'!$J$25,IF(OR(B324&gt;59.5,B324=59.5),MAX(0,MIN(F324,IF(D324&lt;2500,((Y324+AJ324+AA324))-X324,((Y324+AJ324+AA324)*'Retirement Planning'!$J$44)-X324))),0))</f>
        <v>12113.984204327253</v>
      </c>
      <c r="H324" s="255">
        <f ca="1">IF(MONTH(C324)=1,IF(B324&gt;69.5,F324/(INDEX('Retirement Planning'!D$1:D$264,(160+INT(B324))))/12,0),IF(F324=0,0,H323))</f>
        <v>11723.946867875422</v>
      </c>
      <c r="I324" s="262">
        <f t="shared" ca="1" si="112"/>
        <v>0</v>
      </c>
      <c r="J324" s="254">
        <f ca="1">IF(AND(B323&lt;59.5,OR(B324=59.5,B324&gt;59.5)),0,(J323-K323)*(1+'Retirement Planning'!$J$23/12))</f>
        <v>0</v>
      </c>
      <c r="K324" s="58">
        <f t="shared" ca="1" si="113"/>
        <v>0</v>
      </c>
      <c r="L324" s="57">
        <f>IF(AND(OR(B324&gt;59.5,B324=59.5),B323&lt;59.5),0,(L323-M323)*(1+'Retirement Planning'!$J$23/12))</f>
        <v>0</v>
      </c>
      <c r="M324" s="59">
        <f>IF(AND($B$10&lt;55,B324&lt;59.5),0,IF(B324&lt;59.5,MAX(0,MIN((($Y324+$AJ324+AA324)*'Retirement Planning'!$J$44)-$G324-$X324,L324)),0))</f>
        <v>0</v>
      </c>
      <c r="N324" s="57">
        <f ca="1">(N323-O323)*(1+'Retirement Planning'!$J$23/12)</f>
        <v>0</v>
      </c>
      <c r="O324" s="59">
        <f ca="1">IF(B324&gt;59.5,MAX(0,MIN((AA324+$Y324+$AJ324)*(IF(D324&lt;(MIN(E312:E323)+1),1,'Retirement Planning'!$J$44))-M324-$G324-$X324-(IF(D324&lt;(MIN(E312:E323)+1),D324,0)),N324)),0)</f>
        <v>0</v>
      </c>
      <c r="P324" s="57">
        <f t="shared" si="125"/>
        <v>0</v>
      </c>
      <c r="Q324" s="58">
        <f t="shared" si="126"/>
        <v>0</v>
      </c>
      <c r="R324" s="57">
        <f ca="1">(R323-S323-T323)*(1+'Retirement Planning'!$J$23/12)</f>
        <v>922712.53424173803</v>
      </c>
      <c r="S324" s="58">
        <f t="shared" ca="1" si="127"/>
        <v>808.33333333333337</v>
      </c>
      <c r="T324" s="273">
        <f t="shared" ca="1" si="114"/>
        <v>-4.5474735088646412E-13</v>
      </c>
      <c r="U324" s="57">
        <f ca="1">(U323-V323)*(1+'Retirement Planning'!$J$23/12)</f>
        <v>590629.86190420552</v>
      </c>
      <c r="V324" s="24">
        <f ca="1">IF(AND($B$10&lt;55,B324&lt;59.5),MIN(U324,MAX(0,(Y324+AA324+AJ324-G324)*'Retirement Planning'!$J$45)),IF(B324&lt;59.5,(MIN(U324,MAX(0,((Y324+AA324+AJ324)-G324-M324)*'Retirement Planning'!$J$45))),MIN(U324,MAX(0,(Y324+AA324+AJ324-G324-M324-K324-X324)*'Retirement Planning'!$J$45))))</f>
        <v>1438.0627894545698</v>
      </c>
      <c r="W324" s="7">
        <f t="shared" ca="1" si="115"/>
        <v>3590481.8927473295</v>
      </c>
      <c r="X324" s="7">
        <f>(IF(B324&gt;'Retirement Planning'!$J$34,IF('Retirement Planning'!$J$34=70,'Retirement Planning'!$J$37/12,IF('Retirement Planning'!$J$34=67,'Retirement Planning'!$J$36/12,'Retirement Planning'!$J$35/12)),0))*'Retirement Planning'!$J$38</f>
        <v>1213.6000000000001</v>
      </c>
      <c r="Y324" s="7">
        <f ca="1">'Retirement Planning'!$F$35*((1+'Retirement Planning'!$J$24)^(YEAR('Projected Retirement Drawdown'!C324)-YEAR(TODAY())))</f>
        <v>12698.262875408038</v>
      </c>
      <c r="Z324" s="7">
        <f ca="1">G324+M324+O324+0.85*X324+V324*'Retirement Planning'!$J$46+T324</f>
        <v>13936.478738527267</v>
      </c>
      <c r="AA324" s="7">
        <f ca="1">IF(MONTH(C324)=1,(((MIN(MAX(0,((SUM(Z312:Z323)-'Retirement Planning'!$I$53-'Retirement Planning'!$I$54)-'Retirement Planning'!$J$51)*'Retirement Planning'!$I$52))))+(MIN(MAX(0,((SUM(Z312:Z323)-'Retirement Planning'!$I$53-'Retirement Planning'!$I$54)-'Retirement Planning'!$J$50)*'Retirement Planning'!$I$51),('Retirement Planning'!$J$51-'Retirement Planning'!$J$50)*'Retirement Planning'!$I$51))+(MIN(MAX(0,((SUM(Z312:Z323)-'Retirement Planning'!$I$53-'Retirement Planning'!$I$54)-'Retirement Planning'!$J$49)*'Retirement Planning'!$I$50),('Retirement Planning'!$J$50-'Retirement Planning'!$J$49)*'Retirement Planning'!$I$50)+MIN(MAX(0,((SUM(Z312:Z323)-'Retirement Planning'!$I$53-'Retirement Planning'!$I$54)-'Retirement Planning'!$J$48)*'Retirement Planning'!$I$49),('Retirement Planning'!$J$49-'Retirement Planning'!$J$48)*'Retirement Planning'!$I$49)+MIN(((SUM(Z312:Z323)-'Retirement Planning'!$I$53-'Retirement Planning'!$I$54))*'Retirement Planning'!$I$48,('Retirement Planning'!$J$48)*'Retirement Planning'!$I$48))+(IF((SUM(Z312:Z323)-'Retirement Planning'!$I$54-'Retirement Planning'!$I$61)&gt;'Retirement Planning'!$J$59,(SUM(Z312:Z323)-'Retirement Planning'!$I$54-'Retirement Planning'!$I$61-'Retirement Planning'!$J$59)*'Retirement Planning'!$I$60+'Retirement Planning'!$K$59,IF((SUM(Z312:Z323)-'Retirement Planning'!$I$54-'Retirement Planning'!$I$61)&gt;'Retirement Planning'!$J$58,(SUM(Z312:Z323)-'Retirement Planning'!$I$54-'Retirement Planning'!$I$61-'Retirement Planning'!$J$58)*'Retirement Planning'!$I$59+'Retirement Planning'!$K$58,IF((SUM(Z312:Z323)-'Retirement Planning'!$I$54-'Retirement Planning'!$I$61)&gt;'Retirement Planning'!$J$57,(SUM(Z312:Z323)-'Retirement Planning'!$I$54-'Retirement Planning'!$I$61-'Retirement Planning'!$J$57)*'Retirement Planning'!$I$58+'Retirement Planning'!$K$57,IF((SUM(Z312:Z323)-'Retirement Planning'!$I$54-'Retirement Planning'!$I$61)&gt;'Retirement Planning'!$J$56,(SUM(Z312:Z323)-'Retirement Planning'!$I$54-'Retirement Planning'!$I$61-'Retirement Planning'!$J$56)*'Retirement Planning'!$I$57+'Retirement Planning'!$K$56,(SUM(Z312:Z323)-'Retirement Planning'!$I$54-'Retirement Planning'!$I$61)*'Retirement Planning'!$I$56))))))/12,AA323)</f>
        <v>3438.8781175885688</v>
      </c>
      <c r="AB324" s="104">
        <f t="shared" ca="1" si="134"/>
        <v>0.25600258852781954</v>
      </c>
      <c r="AC324" s="7">
        <f>IF(B324&lt;65,'Retirement Planning'!$J$28,0)</f>
        <v>0</v>
      </c>
      <c r="AD324" s="7">
        <f>IF(B324&lt;65,'Retirement Planning'!$J$29/12,0)</f>
        <v>0</v>
      </c>
      <c r="AE324" s="22">
        <f>'Retirement Planning'!$J$31/12</f>
        <v>58.333333333333336</v>
      </c>
      <c r="AF324" s="22">
        <f>'Retirement Planning'!$J$32/12</f>
        <v>66.666666666666671</v>
      </c>
      <c r="AG324" s="7">
        <f>IF($B324&gt;64.9,'Retirement Planning'!$J$39/12,0)</f>
        <v>183.33333333333334</v>
      </c>
      <c r="AH324" s="7">
        <f>IF($B324&gt;64.9,'Retirement Planning'!$J$40/12,0)</f>
        <v>258.33333333333331</v>
      </c>
      <c r="AI324" s="7">
        <f>IF($B324&gt;64.9,'Retirement Planning'!$J$41/12,0)</f>
        <v>558.33333333333337</v>
      </c>
      <c r="AJ324" s="7">
        <f t="shared" ca="1" si="116"/>
        <v>316.66666666666663</v>
      </c>
      <c r="AK324" s="3" t="str">
        <f t="shared" ca="1" si="117"/>
        <v>N/A</v>
      </c>
      <c r="AL324" s="6" t="str">
        <f t="shared" ca="1" si="118"/>
        <v>N/A</v>
      </c>
      <c r="AM324" s="7">
        <f t="shared" ca="1" si="119"/>
        <v>-4.3200998334214091E-12</v>
      </c>
      <c r="AN324" s="7">
        <f t="shared" ca="1" si="120"/>
        <v>17262.140992996607</v>
      </c>
      <c r="AO324" s="7">
        <f t="shared" si="121"/>
        <v>1125</v>
      </c>
    </row>
    <row r="325" spans="1:41" x14ac:dyDescent="0.2">
      <c r="A325">
        <f t="shared" si="122"/>
        <v>50</v>
      </c>
      <c r="B325" s="5">
        <f t="shared" si="123"/>
        <v>82.5</v>
      </c>
      <c r="C325" s="56">
        <f t="shared" si="124"/>
        <v>56005</v>
      </c>
      <c r="D325" s="57">
        <f ca="1">IF(AND(B324&lt;59.5,OR(B325&gt;59.5,B325=59.5)),(D324-E324+J324-K324)*(1+'Retirement Planning'!$J$23/12),(D324-E324)*(1+'Retirement Planning'!$J$23/12))</f>
        <v>723527.01088005712</v>
      </c>
      <c r="E325" s="58">
        <f t="shared" ca="1" si="111"/>
        <v>1688.1606658814508</v>
      </c>
      <c r="F325" s="57">
        <f ca="1">IF(AND(OR(B325&gt;59.5,B325=59.5),B324&lt;59.5),(F324-G324+L324-M324+N324-O324)*(1+'Retirement Planning'!$J$23/12),(F324-G324)*(1+'Retirement Planning'!$J$23/12))</f>
        <v>1354425.6470925487</v>
      </c>
      <c r="G325" s="58">
        <f ca="1">IF(AND($B$10&lt;55,B325&lt;59.5),'Retirement Planning'!$J$25,IF(OR(B325&gt;59.5,B325=59.5),MAX(0,MIN(F325,IF(D325&lt;2500,((Y325+AJ325+AA325))-X325,((Y325+AJ325+AA325)*'Retirement Planning'!$J$44)-X325))),0))</f>
        <v>12113.984204327253</v>
      </c>
      <c r="H325" s="255">
        <f ca="1">IF(MONTH(C325)=1,IF(B325&gt;69.5,F325/(INDEX('Retirement Planning'!D$1:D$264,(160+INT(B325))))/12,0),IF(F325=0,0,H324))</f>
        <v>11723.946867875422</v>
      </c>
      <c r="I325" s="262">
        <f t="shared" ca="1" si="112"/>
        <v>0</v>
      </c>
      <c r="J325" s="254">
        <f ca="1">IF(AND(B324&lt;59.5,OR(B325=59.5,B325&gt;59.5)),0,(J324-K324)*(1+'Retirement Planning'!$J$23/12))</f>
        <v>0</v>
      </c>
      <c r="K325" s="58">
        <f t="shared" ca="1" si="113"/>
        <v>0</v>
      </c>
      <c r="L325" s="57">
        <f>IF(AND(OR(B325&gt;59.5,B325=59.5),B324&lt;59.5),0,(L324-M324)*(1+'Retirement Planning'!$J$23/12))</f>
        <v>0</v>
      </c>
      <c r="M325" s="59">
        <f>IF(AND($B$10&lt;55,B325&lt;59.5),0,IF(B325&lt;59.5,MAX(0,MIN((($Y325+$AJ325+AA325)*'Retirement Planning'!$J$44)-$G325-$X325,L325)),0))</f>
        <v>0</v>
      </c>
      <c r="N325" s="57">
        <f ca="1">(N324-O324)*(1+'Retirement Planning'!$J$23/12)</f>
        <v>0</v>
      </c>
      <c r="O325" s="59">
        <f ca="1">IF(B325&gt;59.5,MAX(0,MIN((AA325+$Y325+$AJ325)*(IF(D325&lt;(MIN(E313:E324)+1),1,'Retirement Planning'!$J$44))-M325-$G325-$X325-(IF(D325&lt;(MIN(E313:E324)+1),D325,0)),N325)),0)</f>
        <v>0</v>
      </c>
      <c r="P325" s="57">
        <f t="shared" si="125"/>
        <v>0</v>
      </c>
      <c r="Q325" s="58">
        <f t="shared" si="126"/>
        <v>0</v>
      </c>
      <c r="R325" s="57">
        <f ca="1">(R324-S324-T324)*(1+'Retirement Planning'!$J$23/12)</f>
        <v>928434.35566483915</v>
      </c>
      <c r="S325" s="58">
        <f t="shared" ca="1" si="127"/>
        <v>808.33333333333337</v>
      </c>
      <c r="T325" s="273">
        <f t="shared" ca="1" si="114"/>
        <v>-4.5474735088646412E-13</v>
      </c>
      <c r="U325" s="57">
        <f ca="1">(U324-V324)*(1+'Retirement Planning'!$J$23/12)</f>
        <v>593365.24102514703</v>
      </c>
      <c r="V325" s="24">
        <f ca="1">IF(AND($B$10&lt;55,B325&lt;59.5),MIN(U325,MAX(0,(Y325+AA325+AJ325-G325)*'Retirement Planning'!$J$45)),IF(B325&lt;59.5,(MIN(U325,MAX(0,((Y325+AA325+AJ325)-G325-M325)*'Retirement Planning'!$J$45))),MIN(U325,MAX(0,(Y325+AA325+AJ325-G325-M325-K325-X325)*'Retirement Planning'!$J$45))))</f>
        <v>1438.0627894545698</v>
      </c>
      <c r="W325" s="7">
        <f t="shared" ca="1" si="115"/>
        <v>3599752.254662592</v>
      </c>
      <c r="X325" s="7">
        <f>(IF(B325&gt;'Retirement Planning'!$J$34,IF('Retirement Planning'!$J$34=70,'Retirement Planning'!$J$37/12,IF('Retirement Planning'!$J$34=67,'Retirement Planning'!$J$36/12,'Retirement Planning'!$J$35/12)),0))*'Retirement Planning'!$J$38</f>
        <v>1213.6000000000001</v>
      </c>
      <c r="Y325" s="7">
        <f ca="1">'Retirement Planning'!$F$35*((1+'Retirement Planning'!$J$24)^(YEAR('Projected Retirement Drawdown'!C325)-YEAR(TODAY())))</f>
        <v>12698.262875408038</v>
      </c>
      <c r="Z325" s="7">
        <f ca="1">G325+M325+O325+0.85*X325+V325*'Retirement Planning'!$J$46+T325</f>
        <v>13936.478738527267</v>
      </c>
      <c r="AA325" s="7">
        <f ca="1">IF(MONTH(C325)=1,(((MIN(MAX(0,((SUM(Z313:Z324)-'Retirement Planning'!$I$53-'Retirement Planning'!$I$54)-'Retirement Planning'!$J$51)*'Retirement Planning'!$I$52))))+(MIN(MAX(0,((SUM(Z313:Z324)-'Retirement Planning'!$I$53-'Retirement Planning'!$I$54)-'Retirement Planning'!$J$50)*'Retirement Planning'!$I$51),('Retirement Planning'!$J$51-'Retirement Planning'!$J$50)*'Retirement Planning'!$I$51))+(MIN(MAX(0,((SUM(Z313:Z324)-'Retirement Planning'!$I$53-'Retirement Planning'!$I$54)-'Retirement Planning'!$J$49)*'Retirement Planning'!$I$50),('Retirement Planning'!$J$50-'Retirement Planning'!$J$49)*'Retirement Planning'!$I$50)+MIN(MAX(0,((SUM(Z313:Z324)-'Retirement Planning'!$I$53-'Retirement Planning'!$I$54)-'Retirement Planning'!$J$48)*'Retirement Planning'!$I$49),('Retirement Planning'!$J$49-'Retirement Planning'!$J$48)*'Retirement Planning'!$I$49)+MIN(((SUM(Z313:Z324)-'Retirement Planning'!$I$53-'Retirement Planning'!$I$54))*'Retirement Planning'!$I$48,('Retirement Planning'!$J$48)*'Retirement Planning'!$I$48))+(IF((SUM(Z313:Z324)-'Retirement Planning'!$I$54-'Retirement Planning'!$I$61)&gt;'Retirement Planning'!$J$59,(SUM(Z313:Z324)-'Retirement Planning'!$I$54-'Retirement Planning'!$I$61-'Retirement Planning'!$J$59)*'Retirement Planning'!$I$60+'Retirement Planning'!$K$59,IF((SUM(Z313:Z324)-'Retirement Planning'!$I$54-'Retirement Planning'!$I$61)&gt;'Retirement Planning'!$J$58,(SUM(Z313:Z324)-'Retirement Planning'!$I$54-'Retirement Planning'!$I$61-'Retirement Planning'!$J$58)*'Retirement Planning'!$I$59+'Retirement Planning'!$K$58,IF((SUM(Z313:Z324)-'Retirement Planning'!$I$54-'Retirement Planning'!$I$61)&gt;'Retirement Planning'!$J$57,(SUM(Z313:Z324)-'Retirement Planning'!$I$54-'Retirement Planning'!$I$61-'Retirement Planning'!$J$57)*'Retirement Planning'!$I$58+'Retirement Planning'!$K$57,IF((SUM(Z313:Z324)-'Retirement Planning'!$I$54-'Retirement Planning'!$I$61)&gt;'Retirement Planning'!$J$56,(SUM(Z313:Z324)-'Retirement Planning'!$I$54-'Retirement Planning'!$I$61-'Retirement Planning'!$J$56)*'Retirement Planning'!$I$57+'Retirement Planning'!$K$56,(SUM(Z313:Z324)-'Retirement Planning'!$I$54-'Retirement Planning'!$I$61)*'Retirement Planning'!$I$56))))))/12,AA324)</f>
        <v>3438.8781175885688</v>
      </c>
      <c r="AB325" s="104">
        <f t="shared" ca="1" si="134"/>
        <v>0.25600258852781954</v>
      </c>
      <c r="AC325" s="7">
        <f>IF(B325&lt;65,'Retirement Planning'!$J$28,0)</f>
        <v>0</v>
      </c>
      <c r="AD325" s="7">
        <f>IF(B325&lt;65,'Retirement Planning'!$J$29/12,0)</f>
        <v>0</v>
      </c>
      <c r="AE325" s="22">
        <f>'Retirement Planning'!$J$31/12</f>
        <v>58.333333333333336</v>
      </c>
      <c r="AF325" s="22">
        <f>'Retirement Planning'!$J$32/12</f>
        <v>66.666666666666671</v>
      </c>
      <c r="AG325" s="7">
        <f>IF($B325&gt;64.9,'Retirement Planning'!$J$39/12,0)</f>
        <v>183.33333333333334</v>
      </c>
      <c r="AH325" s="7">
        <f>IF($B325&gt;64.9,'Retirement Planning'!$J$40/12,0)</f>
        <v>258.33333333333331</v>
      </c>
      <c r="AI325" s="7">
        <f>IF($B325&gt;64.9,'Retirement Planning'!$J$41/12,0)</f>
        <v>558.33333333333337</v>
      </c>
      <c r="AJ325" s="7">
        <f t="shared" ca="1" si="116"/>
        <v>316.66666666666663</v>
      </c>
      <c r="AK325" s="3" t="str">
        <f t="shared" ca="1" si="117"/>
        <v>N/A</v>
      </c>
      <c r="AL325" s="6" t="str">
        <f t="shared" ca="1" si="118"/>
        <v>N/A</v>
      </c>
      <c r="AM325" s="7">
        <f t="shared" ca="1" si="119"/>
        <v>-4.3200998334214091E-12</v>
      </c>
      <c r="AN325" s="7">
        <f t="shared" ca="1" si="120"/>
        <v>17262.140992996607</v>
      </c>
      <c r="AO325" s="7">
        <f t="shared" si="121"/>
        <v>1125</v>
      </c>
    </row>
    <row r="326" spans="1:41" x14ac:dyDescent="0.2">
      <c r="A326">
        <f t="shared" si="122"/>
        <v>50</v>
      </c>
      <c r="B326" s="5">
        <f t="shared" si="123"/>
        <v>82.6</v>
      </c>
      <c r="C326" s="56">
        <f t="shared" si="124"/>
        <v>56036</v>
      </c>
      <c r="D326" s="57">
        <f ca="1">IF(AND(B325&lt;59.5,OR(B326&gt;59.5,B326=59.5)),(D325-E325+J325-K325)*(1+'Retirement Planning'!$J$23/12),(D325-E325)*(1+'Retirement Planning'!$J$23/12))</f>
        <v>726951.87540319271</v>
      </c>
      <c r="E326" s="58">
        <f t="shared" ca="1" si="111"/>
        <v>1688.1606658814508</v>
      </c>
      <c r="F326" s="57">
        <f ca="1">IF(AND(OR(B326&gt;59.5,B326=59.5),B325&lt;59.5),(F325-G325+L325-M325+N325-O325)*(1+'Retirement Planning'!$J$23/12),(F325-G325)*(1+'Retirement Planning'!$J$23/12))</f>
        <v>1351819.7038336797</v>
      </c>
      <c r="G326" s="58">
        <f ca="1">IF(AND($B$10&lt;55,B326&lt;59.5),'Retirement Planning'!$J$25,IF(OR(B326&gt;59.5,B326=59.5),MAX(0,MIN(F326,IF(D326&lt;2500,((Y326+AJ326+AA326))-X326,((Y326+AJ326+AA326)*'Retirement Planning'!$J$44)-X326))),0))</f>
        <v>12113.984204327253</v>
      </c>
      <c r="H326" s="255">
        <f ca="1">IF(MONTH(C326)=1,IF(B326&gt;69.5,F326/(INDEX('Retirement Planning'!D$1:D$264,(160+INT(B326))))/12,0),IF(F326=0,0,H325))</f>
        <v>11723.946867875422</v>
      </c>
      <c r="I326" s="262">
        <f t="shared" ca="1" si="112"/>
        <v>0</v>
      </c>
      <c r="J326" s="254">
        <f ca="1">IF(AND(B325&lt;59.5,OR(B326=59.5,B326&gt;59.5)),0,(J325-K325)*(1+'Retirement Planning'!$J$23/12))</f>
        <v>0</v>
      </c>
      <c r="K326" s="58">
        <f t="shared" ca="1" si="113"/>
        <v>0</v>
      </c>
      <c r="L326" s="57">
        <f>IF(AND(OR(B326&gt;59.5,B326=59.5),B325&lt;59.5),0,(L325-M325)*(1+'Retirement Planning'!$J$23/12))</f>
        <v>0</v>
      </c>
      <c r="M326" s="59">
        <f>IF(AND($B$10&lt;55,B326&lt;59.5),0,IF(B326&lt;59.5,MAX(0,MIN((($Y326+$AJ326+AA326)*'Retirement Planning'!$J$44)-$G326-$X326,L326)),0))</f>
        <v>0</v>
      </c>
      <c r="N326" s="57">
        <f ca="1">(N325-O325)*(1+'Retirement Planning'!$J$23/12)</f>
        <v>0</v>
      </c>
      <c r="O326" s="59">
        <f ca="1">IF(B326&gt;59.5,MAX(0,MIN((AA326+$Y326+$AJ326)*(IF(D326&lt;(MIN(E314:E325)+1),1,'Retirement Planning'!$J$44))-M326-$G326-$X326-(IF(D326&lt;(MIN(E314:E325)+1),D326,0)),N326)),0)</f>
        <v>0</v>
      </c>
      <c r="P326" s="57">
        <f t="shared" si="125"/>
        <v>0</v>
      </c>
      <c r="Q326" s="58">
        <f t="shared" si="126"/>
        <v>0</v>
      </c>
      <c r="R326" s="57">
        <f ca="1">(R325-S325-T325)*(1+'Retirement Planning'!$J$23/12)</f>
        <v>934196.7066563539</v>
      </c>
      <c r="S326" s="58">
        <f t="shared" ca="1" si="127"/>
        <v>808.33333333333337</v>
      </c>
      <c r="T326" s="273">
        <f t="shared" ca="1" si="114"/>
        <v>-4.5474735088646412E-13</v>
      </c>
      <c r="U326" s="57">
        <f ca="1">(U325-V325)*(1+'Retirement Planning'!$J$23/12)</f>
        <v>596119.99574819522</v>
      </c>
      <c r="V326" s="24">
        <f ca="1">IF(AND($B$10&lt;55,B326&lt;59.5),MIN(U326,MAX(0,(Y326+AA326+AJ326-G326)*'Retirement Planning'!$J$45)),IF(B326&lt;59.5,(MIN(U326,MAX(0,((Y326+AA326+AJ326)-G326-M326)*'Retirement Planning'!$J$45))),MIN(U326,MAX(0,(Y326+AA326+AJ326-G326-M326-K326-X326)*'Retirement Planning'!$J$45))))</f>
        <v>1438.0627894545698</v>
      </c>
      <c r="W326" s="7">
        <f t="shared" ca="1" si="115"/>
        <v>3609088.2816414218</v>
      </c>
      <c r="X326" s="7">
        <f>(IF(B326&gt;'Retirement Planning'!$J$34,IF('Retirement Planning'!$J$34=70,'Retirement Planning'!$J$37/12,IF('Retirement Planning'!$J$34=67,'Retirement Planning'!$J$36/12,'Retirement Planning'!$J$35/12)),0))*'Retirement Planning'!$J$38</f>
        <v>1213.6000000000001</v>
      </c>
      <c r="Y326" s="7">
        <f ca="1">'Retirement Planning'!$F$35*((1+'Retirement Planning'!$J$24)^(YEAR('Projected Retirement Drawdown'!C326)-YEAR(TODAY())))</f>
        <v>12698.262875408038</v>
      </c>
      <c r="Z326" s="7">
        <f ca="1">G326+M326+O326+0.85*X326+V326*'Retirement Planning'!$J$46+T326</f>
        <v>13936.478738527267</v>
      </c>
      <c r="AA326" s="7">
        <f ca="1">IF(MONTH(C326)=1,(((MIN(MAX(0,((SUM(Z314:Z325)-'Retirement Planning'!$I$53-'Retirement Planning'!$I$54)-'Retirement Planning'!$J$51)*'Retirement Planning'!$I$52))))+(MIN(MAX(0,((SUM(Z314:Z325)-'Retirement Planning'!$I$53-'Retirement Planning'!$I$54)-'Retirement Planning'!$J$50)*'Retirement Planning'!$I$51),('Retirement Planning'!$J$51-'Retirement Planning'!$J$50)*'Retirement Planning'!$I$51))+(MIN(MAX(0,((SUM(Z314:Z325)-'Retirement Planning'!$I$53-'Retirement Planning'!$I$54)-'Retirement Planning'!$J$49)*'Retirement Planning'!$I$50),('Retirement Planning'!$J$50-'Retirement Planning'!$J$49)*'Retirement Planning'!$I$50)+MIN(MAX(0,((SUM(Z314:Z325)-'Retirement Planning'!$I$53-'Retirement Planning'!$I$54)-'Retirement Planning'!$J$48)*'Retirement Planning'!$I$49),('Retirement Planning'!$J$49-'Retirement Planning'!$J$48)*'Retirement Planning'!$I$49)+MIN(((SUM(Z314:Z325)-'Retirement Planning'!$I$53-'Retirement Planning'!$I$54))*'Retirement Planning'!$I$48,('Retirement Planning'!$J$48)*'Retirement Planning'!$I$48))+(IF((SUM(Z314:Z325)-'Retirement Planning'!$I$54-'Retirement Planning'!$I$61)&gt;'Retirement Planning'!$J$59,(SUM(Z314:Z325)-'Retirement Planning'!$I$54-'Retirement Planning'!$I$61-'Retirement Planning'!$J$59)*'Retirement Planning'!$I$60+'Retirement Planning'!$K$59,IF((SUM(Z314:Z325)-'Retirement Planning'!$I$54-'Retirement Planning'!$I$61)&gt;'Retirement Planning'!$J$58,(SUM(Z314:Z325)-'Retirement Planning'!$I$54-'Retirement Planning'!$I$61-'Retirement Planning'!$J$58)*'Retirement Planning'!$I$59+'Retirement Planning'!$K$58,IF((SUM(Z314:Z325)-'Retirement Planning'!$I$54-'Retirement Planning'!$I$61)&gt;'Retirement Planning'!$J$57,(SUM(Z314:Z325)-'Retirement Planning'!$I$54-'Retirement Planning'!$I$61-'Retirement Planning'!$J$57)*'Retirement Planning'!$I$58+'Retirement Planning'!$K$57,IF((SUM(Z314:Z325)-'Retirement Planning'!$I$54-'Retirement Planning'!$I$61)&gt;'Retirement Planning'!$J$56,(SUM(Z314:Z325)-'Retirement Planning'!$I$54-'Retirement Planning'!$I$61-'Retirement Planning'!$J$56)*'Retirement Planning'!$I$57+'Retirement Planning'!$K$56,(SUM(Z314:Z325)-'Retirement Planning'!$I$54-'Retirement Planning'!$I$61)*'Retirement Planning'!$I$56))))))/12,AA325)</f>
        <v>3438.8781175885688</v>
      </c>
      <c r="AB326" s="104">
        <f t="shared" ca="1" si="134"/>
        <v>0.25600258852781954</v>
      </c>
      <c r="AC326" s="7">
        <f>IF(B326&lt;65,'Retirement Planning'!$J$28,0)</f>
        <v>0</v>
      </c>
      <c r="AD326" s="7">
        <f>IF(B326&lt;65,'Retirement Planning'!$J$29/12,0)</f>
        <v>0</v>
      </c>
      <c r="AE326" s="22">
        <f>'Retirement Planning'!$J$31/12</f>
        <v>58.333333333333336</v>
      </c>
      <c r="AF326" s="22">
        <f>'Retirement Planning'!$J$32/12</f>
        <v>66.666666666666671</v>
      </c>
      <c r="AG326" s="7">
        <f>IF($B326&gt;64.9,'Retirement Planning'!$J$39/12,0)</f>
        <v>183.33333333333334</v>
      </c>
      <c r="AH326" s="7">
        <f>IF($B326&gt;64.9,'Retirement Planning'!$J$40/12,0)</f>
        <v>258.33333333333331</v>
      </c>
      <c r="AI326" s="7">
        <f>IF($B326&gt;64.9,'Retirement Planning'!$J$41/12,0)</f>
        <v>558.33333333333337</v>
      </c>
      <c r="AJ326" s="7">
        <f t="shared" ca="1" si="116"/>
        <v>316.66666666666663</v>
      </c>
      <c r="AK326" s="3" t="str">
        <f t="shared" ca="1" si="117"/>
        <v>N/A</v>
      </c>
      <c r="AL326" s="6" t="str">
        <f t="shared" ca="1" si="118"/>
        <v>N/A</v>
      </c>
      <c r="AM326" s="7">
        <f t="shared" ca="1" si="119"/>
        <v>-4.3200998334214091E-12</v>
      </c>
      <c r="AN326" s="7">
        <f t="shared" ca="1" si="120"/>
        <v>17262.140992996607</v>
      </c>
      <c r="AO326" s="7">
        <f t="shared" si="121"/>
        <v>1125</v>
      </c>
    </row>
    <row r="327" spans="1:41" x14ac:dyDescent="0.2">
      <c r="A327">
        <f t="shared" si="122"/>
        <v>50</v>
      </c>
      <c r="B327" s="5">
        <f t="shared" si="123"/>
        <v>82.7</v>
      </c>
      <c r="C327" s="56">
        <f t="shared" si="124"/>
        <v>56066</v>
      </c>
      <c r="D327" s="57">
        <f ca="1">IF(AND(B326&lt;59.5,OR(B327&gt;59.5,B327=59.5)),(D326-E326+J326-K326)*(1+'Retirement Planning'!$J$23/12),(D326-E326)*(1+'Retirement Planning'!$J$23/12))</f>
        <v>730400.99938336725</v>
      </c>
      <c r="E327" s="58">
        <f t="shared" ca="1" si="111"/>
        <v>1688.1606658814508</v>
      </c>
      <c r="F327" s="57">
        <f ca="1">IF(AND(OR(B327&gt;59.5,B327=59.5),B326&lt;59.5),(F326-G326+L326-M326+N326-O326)*(1+'Retirement Planning'!$J$23/12),(F326-G326)*(1+'Retirement Planning'!$J$23/12))</f>
        <v>1349195.3018100604</v>
      </c>
      <c r="G327" s="58">
        <f ca="1">IF(AND($B$10&lt;55,B327&lt;59.5),'Retirement Planning'!$J$25,IF(OR(B327&gt;59.5,B327=59.5),MAX(0,MIN(F327,IF(D327&lt;2500,((Y327+AJ327+AA327))-X327,((Y327+AJ327+AA327)*'Retirement Planning'!$J$44)-X327))),0))</f>
        <v>12113.984204327253</v>
      </c>
      <c r="H327" s="255">
        <f ca="1">IF(MONTH(C327)=1,IF(B327&gt;69.5,F327/(INDEX('Retirement Planning'!D$1:D$264,(160+INT(B327))))/12,0),IF(F327=0,0,H326))</f>
        <v>11723.946867875422</v>
      </c>
      <c r="I327" s="262">
        <f t="shared" ca="1" si="112"/>
        <v>0</v>
      </c>
      <c r="J327" s="254">
        <f ca="1">IF(AND(B326&lt;59.5,OR(B327=59.5,B327&gt;59.5)),0,(J326-K326)*(1+'Retirement Planning'!$J$23/12))</f>
        <v>0</v>
      </c>
      <c r="K327" s="58">
        <f t="shared" ca="1" si="113"/>
        <v>0</v>
      </c>
      <c r="L327" s="57">
        <f>IF(AND(OR(B327&gt;59.5,B327=59.5),B326&lt;59.5),0,(L326-M326)*(1+'Retirement Planning'!$J$23/12))</f>
        <v>0</v>
      </c>
      <c r="M327" s="59">
        <f>IF(AND($B$10&lt;55,B327&lt;59.5),0,IF(B327&lt;59.5,MAX(0,MIN((($Y327+$AJ327+AA327)*'Retirement Planning'!$J$44)-$G327-$X327,L327)),0))</f>
        <v>0</v>
      </c>
      <c r="N327" s="57">
        <f ca="1">(N326-O326)*(1+'Retirement Planning'!$J$23/12)</f>
        <v>0</v>
      </c>
      <c r="O327" s="59">
        <f ca="1">IF(B327&gt;59.5,MAX(0,MIN((AA327+$Y327+$AJ327)*(IF(D327&lt;(MIN(E315:E326)+1),1,'Retirement Planning'!$J$44))-M327-$G327-$X327-(IF(D327&lt;(MIN(E315:E326)+1),D327,0)),N327)),0)</f>
        <v>0</v>
      </c>
      <c r="P327" s="57">
        <f t="shared" si="125"/>
        <v>0</v>
      </c>
      <c r="Q327" s="58">
        <f t="shared" si="126"/>
        <v>0</v>
      </c>
      <c r="R327" s="57">
        <f ca="1">(R326-S326-T326)*(1+'Retirement Planning'!$J$23/12)</f>
        <v>939999.87430072529</v>
      </c>
      <c r="S327" s="58">
        <f t="shared" ca="1" si="127"/>
        <v>808.33333333333337</v>
      </c>
      <c r="T327" s="273">
        <f t="shared" ca="1" si="114"/>
        <v>-4.5474735088646412E-13</v>
      </c>
      <c r="U327" s="57">
        <f ca="1">(U326-V326)*(1+'Retirement Planning'!$J$23/12)</f>
        <v>598894.26331719838</v>
      </c>
      <c r="V327" s="24">
        <f ca="1">IF(AND($B$10&lt;55,B327&lt;59.5),MIN(U327,MAX(0,(Y327+AA327+AJ327-G327)*'Retirement Planning'!$J$45)),IF(B327&lt;59.5,(MIN(U327,MAX(0,((Y327+AA327+AJ327)-G327-M327)*'Retirement Planning'!$J$45))),MIN(U327,MAX(0,(Y327+AA327+AJ327-G327-M327-K327-X327)*'Retirement Planning'!$J$45))))</f>
        <v>1438.0627894545698</v>
      </c>
      <c r="W327" s="7">
        <f t="shared" ca="1" si="115"/>
        <v>3618490.4388113515</v>
      </c>
      <c r="X327" s="7">
        <f>(IF(B327&gt;'Retirement Planning'!$J$34,IF('Retirement Planning'!$J$34=70,'Retirement Planning'!$J$37/12,IF('Retirement Planning'!$J$34=67,'Retirement Planning'!$J$36/12,'Retirement Planning'!$J$35/12)),0))*'Retirement Planning'!$J$38</f>
        <v>1213.6000000000001</v>
      </c>
      <c r="Y327" s="7">
        <f ca="1">'Retirement Planning'!$F$35*((1+'Retirement Planning'!$J$24)^(YEAR('Projected Retirement Drawdown'!C327)-YEAR(TODAY())))</f>
        <v>12698.262875408038</v>
      </c>
      <c r="Z327" s="7">
        <f ca="1">G327+M327+O327+0.85*X327+V327*'Retirement Planning'!$J$46+T327</f>
        <v>13936.478738527267</v>
      </c>
      <c r="AA327" s="7">
        <f ca="1">IF(MONTH(C327)=1,(((MIN(MAX(0,((SUM(Z315:Z326)-'Retirement Planning'!$I$53-'Retirement Planning'!$I$54)-'Retirement Planning'!$J$51)*'Retirement Planning'!$I$52))))+(MIN(MAX(0,((SUM(Z315:Z326)-'Retirement Planning'!$I$53-'Retirement Planning'!$I$54)-'Retirement Planning'!$J$50)*'Retirement Planning'!$I$51),('Retirement Planning'!$J$51-'Retirement Planning'!$J$50)*'Retirement Planning'!$I$51))+(MIN(MAX(0,((SUM(Z315:Z326)-'Retirement Planning'!$I$53-'Retirement Planning'!$I$54)-'Retirement Planning'!$J$49)*'Retirement Planning'!$I$50),('Retirement Planning'!$J$50-'Retirement Planning'!$J$49)*'Retirement Planning'!$I$50)+MIN(MAX(0,((SUM(Z315:Z326)-'Retirement Planning'!$I$53-'Retirement Planning'!$I$54)-'Retirement Planning'!$J$48)*'Retirement Planning'!$I$49),('Retirement Planning'!$J$49-'Retirement Planning'!$J$48)*'Retirement Planning'!$I$49)+MIN(((SUM(Z315:Z326)-'Retirement Planning'!$I$53-'Retirement Planning'!$I$54))*'Retirement Planning'!$I$48,('Retirement Planning'!$J$48)*'Retirement Planning'!$I$48))+(IF((SUM(Z315:Z326)-'Retirement Planning'!$I$54-'Retirement Planning'!$I$61)&gt;'Retirement Planning'!$J$59,(SUM(Z315:Z326)-'Retirement Planning'!$I$54-'Retirement Planning'!$I$61-'Retirement Planning'!$J$59)*'Retirement Planning'!$I$60+'Retirement Planning'!$K$59,IF((SUM(Z315:Z326)-'Retirement Planning'!$I$54-'Retirement Planning'!$I$61)&gt;'Retirement Planning'!$J$58,(SUM(Z315:Z326)-'Retirement Planning'!$I$54-'Retirement Planning'!$I$61-'Retirement Planning'!$J$58)*'Retirement Planning'!$I$59+'Retirement Planning'!$K$58,IF((SUM(Z315:Z326)-'Retirement Planning'!$I$54-'Retirement Planning'!$I$61)&gt;'Retirement Planning'!$J$57,(SUM(Z315:Z326)-'Retirement Planning'!$I$54-'Retirement Planning'!$I$61-'Retirement Planning'!$J$57)*'Retirement Planning'!$I$58+'Retirement Planning'!$K$57,IF((SUM(Z315:Z326)-'Retirement Planning'!$I$54-'Retirement Planning'!$I$61)&gt;'Retirement Planning'!$J$56,(SUM(Z315:Z326)-'Retirement Planning'!$I$54-'Retirement Planning'!$I$61-'Retirement Planning'!$J$56)*'Retirement Planning'!$I$57+'Retirement Planning'!$K$56,(SUM(Z315:Z326)-'Retirement Planning'!$I$54-'Retirement Planning'!$I$61)*'Retirement Planning'!$I$56))))))/12,AA326)</f>
        <v>3438.8781175885688</v>
      </c>
      <c r="AB327" s="104">
        <f t="shared" ca="1" si="134"/>
        <v>0.25600258852781954</v>
      </c>
      <c r="AC327" s="7">
        <f>IF(B327&lt;65,'Retirement Planning'!$J$28,0)</f>
        <v>0</v>
      </c>
      <c r="AD327" s="7">
        <f>IF(B327&lt;65,'Retirement Planning'!$J$29/12,0)</f>
        <v>0</v>
      </c>
      <c r="AE327" s="22">
        <f>'Retirement Planning'!$J$31/12</f>
        <v>58.333333333333336</v>
      </c>
      <c r="AF327" s="22">
        <f>'Retirement Planning'!$J$32/12</f>
        <v>66.666666666666671</v>
      </c>
      <c r="AG327" s="7">
        <f>IF($B327&gt;64.9,'Retirement Planning'!$J$39/12,0)</f>
        <v>183.33333333333334</v>
      </c>
      <c r="AH327" s="7">
        <f>IF($B327&gt;64.9,'Retirement Planning'!$J$40/12,0)</f>
        <v>258.33333333333331</v>
      </c>
      <c r="AI327" s="7">
        <f>IF($B327&gt;64.9,'Retirement Planning'!$J$41/12,0)</f>
        <v>558.33333333333337</v>
      </c>
      <c r="AJ327" s="7">
        <f t="shared" ca="1" si="116"/>
        <v>316.66666666666663</v>
      </c>
      <c r="AK327" s="3" t="str">
        <f t="shared" ca="1" si="117"/>
        <v>N/A</v>
      </c>
      <c r="AL327" s="6" t="str">
        <f t="shared" ca="1" si="118"/>
        <v>N/A</v>
      </c>
      <c r="AM327" s="7">
        <f t="shared" ca="1" si="119"/>
        <v>-4.3200998334214091E-12</v>
      </c>
      <c r="AN327" s="7">
        <f t="shared" ca="1" si="120"/>
        <v>17262.140992996607</v>
      </c>
      <c r="AO327" s="7">
        <f t="shared" si="121"/>
        <v>1125</v>
      </c>
    </row>
    <row r="328" spans="1:41" x14ac:dyDescent="0.2">
      <c r="A328">
        <f t="shared" si="122"/>
        <v>50</v>
      </c>
      <c r="B328" s="5">
        <f t="shared" si="123"/>
        <v>82.8</v>
      </c>
      <c r="C328" s="56">
        <f t="shared" si="124"/>
        <v>56097</v>
      </c>
      <c r="D328" s="57">
        <f ca="1">IF(AND(B327&lt;59.5,OR(B328&gt;59.5,B328=59.5)),(D327-E327+J327-K327)*(1+'Retirement Planning'!$J$23/12),(D327-E327)*(1+'Retirement Planning'!$J$23/12))</f>
        <v>733874.55465840129</v>
      </c>
      <c r="E328" s="58">
        <f t="shared" ca="1" si="111"/>
        <v>1688.1606658814508</v>
      </c>
      <c r="F328" s="57">
        <f ca="1">IF(AND(OR(B328&gt;59.5,B328=59.5),B327&lt;59.5),(F327-G327+L327-M327+N327-O327)*(1+'Retirement Planning'!$J$23/12),(F327-G327)*(1+'Retirement Planning'!$J$23/12))</f>
        <v>1346552.3102721071</v>
      </c>
      <c r="G328" s="58">
        <f ca="1">IF(AND($B$10&lt;55,B328&lt;59.5),'Retirement Planning'!$J$25,IF(OR(B328&gt;59.5,B328=59.5),MAX(0,MIN(F328,IF(D328&lt;2500,((Y328+AJ328+AA328))-X328,((Y328+AJ328+AA328)*'Retirement Planning'!$J$44)-X328))),0))</f>
        <v>12113.984204327253</v>
      </c>
      <c r="H328" s="255">
        <f ca="1">IF(MONTH(C328)=1,IF(B328&gt;69.5,F328/(INDEX('Retirement Planning'!D$1:D$264,(160+INT(B328))))/12,0),IF(F328=0,0,H327))</f>
        <v>11723.946867875422</v>
      </c>
      <c r="I328" s="262">
        <f t="shared" ca="1" si="112"/>
        <v>0</v>
      </c>
      <c r="J328" s="254">
        <f ca="1">IF(AND(B327&lt;59.5,OR(B328=59.5,B328&gt;59.5)),0,(J327-K327)*(1+'Retirement Planning'!$J$23/12))</f>
        <v>0</v>
      </c>
      <c r="K328" s="58">
        <f t="shared" ca="1" si="113"/>
        <v>0</v>
      </c>
      <c r="L328" s="57">
        <f>IF(AND(OR(B328&gt;59.5,B328=59.5),B327&lt;59.5),0,(L327-M327)*(1+'Retirement Planning'!$J$23/12))</f>
        <v>0</v>
      </c>
      <c r="M328" s="59">
        <f>IF(AND($B$10&lt;55,B328&lt;59.5),0,IF(B328&lt;59.5,MAX(0,MIN((($Y328+$AJ328+AA328)*'Retirement Planning'!$J$44)-$G328-$X328,L328)),0))</f>
        <v>0</v>
      </c>
      <c r="N328" s="57">
        <f ca="1">(N327-O327)*(1+'Retirement Planning'!$J$23/12)</f>
        <v>0</v>
      </c>
      <c r="O328" s="59">
        <f ca="1">IF(B328&gt;59.5,MAX(0,MIN((AA328+$Y328+$AJ328)*(IF(D328&lt;(MIN(E316:E327)+1),1,'Retirement Planning'!$J$44))-M328-$G328-$X328-(IF(D328&lt;(MIN(E316:E327)+1),D328,0)),N328)),0)</f>
        <v>0</v>
      </c>
      <c r="P328" s="57">
        <f t="shared" si="125"/>
        <v>0</v>
      </c>
      <c r="Q328" s="58">
        <f t="shared" si="126"/>
        <v>0</v>
      </c>
      <c r="R328" s="57">
        <f ca="1">(R327-S327-T327)*(1+'Retirement Planning'!$J$23/12)</f>
        <v>945844.14771591092</v>
      </c>
      <c r="S328" s="58">
        <f t="shared" ca="1" si="127"/>
        <v>808.33333333333337</v>
      </c>
      <c r="T328" s="273">
        <f t="shared" ca="1" si="114"/>
        <v>-4.5474735088646412E-13</v>
      </c>
      <c r="U328" s="57">
        <f ca="1">(U327-V327)*(1+'Retirement Planning'!$J$23/12)</f>
        <v>601688.18194814865</v>
      </c>
      <c r="V328" s="24">
        <f ca="1">IF(AND($B$10&lt;55,B328&lt;59.5),MIN(U328,MAX(0,(Y328+AA328+AJ328-G328)*'Retirement Planning'!$J$45)),IF(B328&lt;59.5,(MIN(U328,MAX(0,((Y328+AA328+AJ328)-G328-M328)*'Retirement Planning'!$J$45))),MIN(U328,MAX(0,(Y328+AA328+AJ328-G328-M328-K328-X328)*'Retirement Planning'!$J$45))))</f>
        <v>1438.0627894545698</v>
      </c>
      <c r="W328" s="7">
        <f t="shared" ca="1" si="115"/>
        <v>3627959.1945945681</v>
      </c>
      <c r="X328" s="7">
        <f>(IF(B328&gt;'Retirement Planning'!$J$34,IF('Retirement Planning'!$J$34=70,'Retirement Planning'!$J$37/12,IF('Retirement Planning'!$J$34=67,'Retirement Planning'!$J$36/12,'Retirement Planning'!$J$35/12)),0))*'Retirement Planning'!$J$38</f>
        <v>1213.6000000000001</v>
      </c>
      <c r="Y328" s="7">
        <f ca="1">'Retirement Planning'!$F$35*((1+'Retirement Planning'!$J$24)^(YEAR('Projected Retirement Drawdown'!C328)-YEAR(TODAY())))</f>
        <v>12698.262875408038</v>
      </c>
      <c r="Z328" s="7">
        <f ca="1">G328+M328+O328+0.85*X328+V328*'Retirement Planning'!$J$46+T328</f>
        <v>13936.478738527267</v>
      </c>
      <c r="AA328" s="7">
        <f ca="1">IF(MONTH(C328)=1,(((MIN(MAX(0,((SUM(Z316:Z327)-'Retirement Planning'!$I$53-'Retirement Planning'!$I$54)-'Retirement Planning'!$J$51)*'Retirement Planning'!$I$52))))+(MIN(MAX(0,((SUM(Z316:Z327)-'Retirement Planning'!$I$53-'Retirement Planning'!$I$54)-'Retirement Planning'!$J$50)*'Retirement Planning'!$I$51),('Retirement Planning'!$J$51-'Retirement Planning'!$J$50)*'Retirement Planning'!$I$51))+(MIN(MAX(0,((SUM(Z316:Z327)-'Retirement Planning'!$I$53-'Retirement Planning'!$I$54)-'Retirement Planning'!$J$49)*'Retirement Planning'!$I$50),('Retirement Planning'!$J$50-'Retirement Planning'!$J$49)*'Retirement Planning'!$I$50)+MIN(MAX(0,((SUM(Z316:Z327)-'Retirement Planning'!$I$53-'Retirement Planning'!$I$54)-'Retirement Planning'!$J$48)*'Retirement Planning'!$I$49),('Retirement Planning'!$J$49-'Retirement Planning'!$J$48)*'Retirement Planning'!$I$49)+MIN(((SUM(Z316:Z327)-'Retirement Planning'!$I$53-'Retirement Planning'!$I$54))*'Retirement Planning'!$I$48,('Retirement Planning'!$J$48)*'Retirement Planning'!$I$48))+(IF((SUM(Z316:Z327)-'Retirement Planning'!$I$54-'Retirement Planning'!$I$61)&gt;'Retirement Planning'!$J$59,(SUM(Z316:Z327)-'Retirement Planning'!$I$54-'Retirement Planning'!$I$61-'Retirement Planning'!$J$59)*'Retirement Planning'!$I$60+'Retirement Planning'!$K$59,IF((SUM(Z316:Z327)-'Retirement Planning'!$I$54-'Retirement Planning'!$I$61)&gt;'Retirement Planning'!$J$58,(SUM(Z316:Z327)-'Retirement Planning'!$I$54-'Retirement Planning'!$I$61-'Retirement Planning'!$J$58)*'Retirement Planning'!$I$59+'Retirement Planning'!$K$58,IF((SUM(Z316:Z327)-'Retirement Planning'!$I$54-'Retirement Planning'!$I$61)&gt;'Retirement Planning'!$J$57,(SUM(Z316:Z327)-'Retirement Planning'!$I$54-'Retirement Planning'!$I$61-'Retirement Planning'!$J$57)*'Retirement Planning'!$I$58+'Retirement Planning'!$K$57,IF((SUM(Z316:Z327)-'Retirement Planning'!$I$54-'Retirement Planning'!$I$61)&gt;'Retirement Planning'!$J$56,(SUM(Z316:Z327)-'Retirement Planning'!$I$54-'Retirement Planning'!$I$61-'Retirement Planning'!$J$56)*'Retirement Planning'!$I$57+'Retirement Planning'!$K$56,(SUM(Z316:Z327)-'Retirement Planning'!$I$54-'Retirement Planning'!$I$61)*'Retirement Planning'!$I$56))))))/12,AA327)</f>
        <v>3438.8781175885688</v>
      </c>
      <c r="AB328" s="104">
        <f t="shared" ca="1" si="134"/>
        <v>0.25600258852781954</v>
      </c>
      <c r="AC328" s="7">
        <f>IF(B328&lt;65,'Retirement Planning'!$J$28,0)</f>
        <v>0</v>
      </c>
      <c r="AD328" s="7">
        <f>IF(B328&lt;65,'Retirement Planning'!$J$29/12,0)</f>
        <v>0</v>
      </c>
      <c r="AE328" s="22">
        <f>'Retirement Planning'!$J$31/12</f>
        <v>58.333333333333336</v>
      </c>
      <c r="AF328" s="22">
        <f>'Retirement Planning'!$J$32/12</f>
        <v>66.666666666666671</v>
      </c>
      <c r="AG328" s="7">
        <f>IF($B328&gt;64.9,'Retirement Planning'!$J$39/12,0)</f>
        <v>183.33333333333334</v>
      </c>
      <c r="AH328" s="7">
        <f>IF($B328&gt;64.9,'Retirement Planning'!$J$40/12,0)</f>
        <v>258.33333333333331</v>
      </c>
      <c r="AI328" s="7">
        <f>IF($B328&gt;64.9,'Retirement Planning'!$J$41/12,0)</f>
        <v>558.33333333333337</v>
      </c>
      <c r="AJ328" s="7">
        <f t="shared" ca="1" si="116"/>
        <v>316.66666666666663</v>
      </c>
      <c r="AK328" s="3" t="str">
        <f t="shared" ca="1" si="117"/>
        <v>N/A</v>
      </c>
      <c r="AL328" s="6" t="str">
        <f t="shared" ca="1" si="118"/>
        <v>N/A</v>
      </c>
      <c r="AM328" s="7">
        <f t="shared" ca="1" si="119"/>
        <v>-4.3200998334214091E-12</v>
      </c>
      <c r="AN328" s="7">
        <f t="shared" ca="1" si="120"/>
        <v>17262.140992996607</v>
      </c>
      <c r="AO328" s="7">
        <f t="shared" si="121"/>
        <v>1125</v>
      </c>
    </row>
    <row r="329" spans="1:41" x14ac:dyDescent="0.2">
      <c r="A329">
        <f t="shared" si="122"/>
        <v>50</v>
      </c>
      <c r="B329" s="5">
        <f t="shared" si="123"/>
        <v>82.9</v>
      </c>
      <c r="C329" s="56">
        <f t="shared" si="124"/>
        <v>56128</v>
      </c>
      <c r="D329" s="57">
        <f ca="1">IF(AND(B328&lt;59.5,OR(B329&gt;59.5,B329=59.5)),(D328-E328+J328-K328)*(1+'Retirement Planning'!$J$23/12),(D328-E328)*(1+'Retirement Planning'!$J$23/12))</f>
        <v>737372.71428330021</v>
      </c>
      <c r="E329" s="58">
        <f t="shared" ca="1" si="111"/>
        <v>1688.1606658814508</v>
      </c>
      <c r="F329" s="57">
        <f ca="1">IF(AND(OR(B329&gt;59.5,B329=59.5),B328&lt;59.5),(F328-G328+L328-M328+N328-O328)*(1+'Retirement Planning'!$J$23/12),(F328-G328)*(1+'Retirement Planning'!$J$23/12))</f>
        <v>1343890.5975440934</v>
      </c>
      <c r="G329" s="58">
        <f ca="1">IF(AND($B$10&lt;55,B329&lt;59.5),'Retirement Planning'!$J$25,IF(OR(B329&gt;59.5,B329=59.5),MAX(0,MIN(F329,IF(D329&lt;2500,((Y329+AJ329+AA329))-X329,((Y329+AJ329+AA329)*'Retirement Planning'!$J$44)-X329))),0))</f>
        <v>12113.984204327253</v>
      </c>
      <c r="H329" s="255">
        <f ca="1">IF(MONTH(C329)=1,IF(B329&gt;69.5,F329/(INDEX('Retirement Planning'!D$1:D$264,(160+INT(B329))))/12,0),IF(F329=0,0,H328))</f>
        <v>11723.946867875422</v>
      </c>
      <c r="I329" s="262">
        <f t="shared" ca="1" si="112"/>
        <v>0</v>
      </c>
      <c r="J329" s="254">
        <f ca="1">IF(AND(B328&lt;59.5,OR(B329=59.5,B329&gt;59.5)),0,(J328-K328)*(1+'Retirement Planning'!$J$23/12))</f>
        <v>0</v>
      </c>
      <c r="K329" s="58">
        <f t="shared" ca="1" si="113"/>
        <v>0</v>
      </c>
      <c r="L329" s="57">
        <f>IF(AND(OR(B329&gt;59.5,B329=59.5),B328&lt;59.5),0,(L328-M328)*(1+'Retirement Planning'!$J$23/12))</f>
        <v>0</v>
      </c>
      <c r="M329" s="59">
        <f>IF(AND($B$10&lt;55,B329&lt;59.5),0,IF(B329&lt;59.5,MAX(0,MIN((($Y329+$AJ329+AA329)*'Retirement Planning'!$J$44)-$G329-$X329,L329)),0))</f>
        <v>0</v>
      </c>
      <c r="N329" s="57">
        <f ca="1">(N328-O328)*(1+'Retirement Planning'!$J$23/12)</f>
        <v>0</v>
      </c>
      <c r="O329" s="59">
        <f ca="1">IF(B329&gt;59.5,MAX(0,MIN((AA329+$Y329+$AJ329)*(IF(D329&lt;(MIN(E317:E328)+1),1,'Retirement Planning'!$J$44))-M329-$G329-$X329-(IF(D329&lt;(MIN(E317:E328)+1),D329,0)),N329)),0)</f>
        <v>0</v>
      </c>
      <c r="P329" s="57">
        <f t="shared" si="125"/>
        <v>0</v>
      </c>
      <c r="Q329" s="58">
        <f t="shared" si="126"/>
        <v>0</v>
      </c>
      <c r="R329" s="57">
        <f ca="1">(R328-S328-T328)*(1+'Retirement Planning'!$J$23/12)</f>
        <v>951729.81806778745</v>
      </c>
      <c r="S329" s="58">
        <f t="shared" ca="1" si="127"/>
        <v>808.33333333333337</v>
      </c>
      <c r="T329" s="273">
        <f t="shared" ca="1" si="114"/>
        <v>-4.5474735088646412E-13</v>
      </c>
      <c r="U329" s="57">
        <f ca="1">(U328-V328)*(1+'Retirement Planning'!$J$23/12)</f>
        <v>604501.89083606808</v>
      </c>
      <c r="V329" s="24">
        <f ca="1">IF(AND($B$10&lt;55,B329&lt;59.5),MIN(U329,MAX(0,(Y329+AA329+AJ329-G329)*'Retirement Planning'!$J$45)),IF(B329&lt;59.5,(MIN(U329,MAX(0,((Y329+AA329+AJ329)-G329-M329)*'Retirement Planning'!$J$45))),MIN(U329,MAX(0,(Y329+AA329+AJ329-G329-M329-K329-X329)*'Retirement Planning'!$J$45))))</f>
        <v>1438.0627894545698</v>
      </c>
      <c r="W329" s="7">
        <f t="shared" ca="1" si="115"/>
        <v>3637495.0207312494</v>
      </c>
      <c r="X329" s="7">
        <f>(IF(B329&gt;'Retirement Planning'!$J$34,IF('Retirement Planning'!$J$34=70,'Retirement Planning'!$J$37/12,IF('Retirement Planning'!$J$34=67,'Retirement Planning'!$J$36/12,'Retirement Planning'!$J$35/12)),0))*'Retirement Planning'!$J$38</f>
        <v>1213.6000000000001</v>
      </c>
      <c r="Y329" s="7">
        <f ca="1">'Retirement Planning'!$F$35*((1+'Retirement Planning'!$J$24)^(YEAR('Projected Retirement Drawdown'!C329)-YEAR(TODAY())))</f>
        <v>12698.262875408038</v>
      </c>
      <c r="Z329" s="7">
        <f ca="1">G329+M329+O329+0.85*X329+V329*'Retirement Planning'!$J$46+T329</f>
        <v>13936.478738527267</v>
      </c>
      <c r="AA329" s="7">
        <f ca="1">IF(MONTH(C329)=1,(((MIN(MAX(0,((SUM(Z317:Z328)-'Retirement Planning'!$I$53-'Retirement Planning'!$I$54)-'Retirement Planning'!$J$51)*'Retirement Planning'!$I$52))))+(MIN(MAX(0,((SUM(Z317:Z328)-'Retirement Planning'!$I$53-'Retirement Planning'!$I$54)-'Retirement Planning'!$J$50)*'Retirement Planning'!$I$51),('Retirement Planning'!$J$51-'Retirement Planning'!$J$50)*'Retirement Planning'!$I$51))+(MIN(MAX(0,((SUM(Z317:Z328)-'Retirement Planning'!$I$53-'Retirement Planning'!$I$54)-'Retirement Planning'!$J$49)*'Retirement Planning'!$I$50),('Retirement Planning'!$J$50-'Retirement Planning'!$J$49)*'Retirement Planning'!$I$50)+MIN(MAX(0,((SUM(Z317:Z328)-'Retirement Planning'!$I$53-'Retirement Planning'!$I$54)-'Retirement Planning'!$J$48)*'Retirement Planning'!$I$49),('Retirement Planning'!$J$49-'Retirement Planning'!$J$48)*'Retirement Planning'!$I$49)+MIN(((SUM(Z317:Z328)-'Retirement Planning'!$I$53-'Retirement Planning'!$I$54))*'Retirement Planning'!$I$48,('Retirement Planning'!$J$48)*'Retirement Planning'!$I$48))+(IF((SUM(Z317:Z328)-'Retirement Planning'!$I$54-'Retirement Planning'!$I$61)&gt;'Retirement Planning'!$J$59,(SUM(Z317:Z328)-'Retirement Planning'!$I$54-'Retirement Planning'!$I$61-'Retirement Planning'!$J$59)*'Retirement Planning'!$I$60+'Retirement Planning'!$K$59,IF((SUM(Z317:Z328)-'Retirement Planning'!$I$54-'Retirement Planning'!$I$61)&gt;'Retirement Planning'!$J$58,(SUM(Z317:Z328)-'Retirement Planning'!$I$54-'Retirement Planning'!$I$61-'Retirement Planning'!$J$58)*'Retirement Planning'!$I$59+'Retirement Planning'!$K$58,IF((SUM(Z317:Z328)-'Retirement Planning'!$I$54-'Retirement Planning'!$I$61)&gt;'Retirement Planning'!$J$57,(SUM(Z317:Z328)-'Retirement Planning'!$I$54-'Retirement Planning'!$I$61-'Retirement Planning'!$J$57)*'Retirement Planning'!$I$58+'Retirement Planning'!$K$57,IF((SUM(Z317:Z328)-'Retirement Planning'!$I$54-'Retirement Planning'!$I$61)&gt;'Retirement Planning'!$J$56,(SUM(Z317:Z328)-'Retirement Planning'!$I$54-'Retirement Planning'!$I$61-'Retirement Planning'!$J$56)*'Retirement Planning'!$I$57+'Retirement Planning'!$K$56,(SUM(Z317:Z328)-'Retirement Planning'!$I$54-'Retirement Planning'!$I$61)*'Retirement Planning'!$I$56))))))/12,AA328)</f>
        <v>3438.8781175885688</v>
      </c>
      <c r="AB329" s="104">
        <f t="shared" ca="1" si="134"/>
        <v>0.25600258852781954</v>
      </c>
      <c r="AC329" s="7">
        <f>IF(B329&lt;65,'Retirement Planning'!$J$28,0)</f>
        <v>0</v>
      </c>
      <c r="AD329" s="7">
        <f>IF(B329&lt;65,'Retirement Planning'!$J$29/12,0)</f>
        <v>0</v>
      </c>
      <c r="AE329" s="22">
        <f>'Retirement Planning'!$J$31/12</f>
        <v>58.333333333333336</v>
      </c>
      <c r="AF329" s="22">
        <f>'Retirement Planning'!$J$32/12</f>
        <v>66.666666666666671</v>
      </c>
      <c r="AG329" s="7">
        <f>IF($B329&gt;64.9,'Retirement Planning'!$J$39/12,0)</f>
        <v>183.33333333333334</v>
      </c>
      <c r="AH329" s="7">
        <f>IF($B329&gt;64.9,'Retirement Planning'!$J$40/12,0)</f>
        <v>258.33333333333331</v>
      </c>
      <c r="AI329" s="7">
        <f>IF($B329&gt;64.9,'Retirement Planning'!$J$41/12,0)</f>
        <v>558.33333333333337</v>
      </c>
      <c r="AJ329" s="7">
        <f t="shared" ca="1" si="116"/>
        <v>316.66666666666663</v>
      </c>
      <c r="AK329" s="3" t="str">
        <f t="shared" ca="1" si="117"/>
        <v>N/A</v>
      </c>
      <c r="AL329" s="6" t="str">
        <f t="shared" ca="1" si="118"/>
        <v>N/A</v>
      </c>
      <c r="AM329" s="7">
        <f t="shared" ca="1" si="119"/>
        <v>-4.3200998334214091E-12</v>
      </c>
      <c r="AN329" s="7">
        <f t="shared" ca="1" si="120"/>
        <v>17262.140992996607</v>
      </c>
      <c r="AO329" s="7">
        <f t="shared" si="121"/>
        <v>1125</v>
      </c>
    </row>
    <row r="330" spans="1:41" x14ac:dyDescent="0.2">
      <c r="A330">
        <f t="shared" si="122"/>
        <v>50</v>
      </c>
      <c r="B330" s="5">
        <f t="shared" si="123"/>
        <v>83</v>
      </c>
      <c r="C330" s="56">
        <f t="shared" si="124"/>
        <v>56158</v>
      </c>
      <c r="D330" s="57">
        <f ca="1">IF(AND(B329&lt;59.5,OR(B330&gt;59.5,B330=59.5)),(D329-E329+J329-K329)*(1+'Retirement Planning'!$J$23/12),(D329-E329)*(1+'Retirement Planning'!$J$23/12))</f>
        <v>740895.65253887547</v>
      </c>
      <c r="E330" s="58">
        <f t="shared" ca="1" si="111"/>
        <v>1688.1606658814508</v>
      </c>
      <c r="F330" s="57">
        <f ca="1">IF(AND(OR(B330&gt;59.5,B330=59.5),B329&lt;59.5),(F329-G329+L329-M329+N329-O329)*(1+'Retirement Planning'!$J$23/12),(F329-G329)*(1+'Retirement Planning'!$J$23/12))</f>
        <v>1341210.0310175896</v>
      </c>
      <c r="G330" s="58">
        <f ca="1">IF(AND($B$10&lt;55,B330&lt;59.5),'Retirement Planning'!$J$25,IF(OR(B330&gt;59.5,B330=59.5),MAX(0,MIN(F330,IF(D330&lt;2500,((Y330+AJ330+AA330))-X330,((Y330+AJ330+AA330)*'Retirement Planning'!$J$44)-X330))),0))</f>
        <v>12113.984204327253</v>
      </c>
      <c r="H330" s="255">
        <f ca="1">IF(MONTH(C330)=1,IF(B330&gt;69.5,F330/(INDEX('Retirement Planning'!D$1:D$264,(160+INT(B330))))/12,0),IF(F330=0,0,H329))</f>
        <v>11723.946867875422</v>
      </c>
      <c r="I330" s="262">
        <f t="shared" ca="1" si="112"/>
        <v>0</v>
      </c>
      <c r="J330" s="254">
        <f ca="1">IF(AND(B329&lt;59.5,OR(B330=59.5,B330&gt;59.5)),0,(J329-K329)*(1+'Retirement Planning'!$J$23/12))</f>
        <v>0</v>
      </c>
      <c r="K330" s="58">
        <f t="shared" ca="1" si="113"/>
        <v>0</v>
      </c>
      <c r="L330" s="57">
        <f>IF(AND(OR(B330&gt;59.5,B330=59.5),B329&lt;59.5),0,(L329-M329)*(1+'Retirement Planning'!$J$23/12))</f>
        <v>0</v>
      </c>
      <c r="M330" s="59">
        <f>IF(AND($B$10&lt;55,B330&lt;59.5),0,IF(B330&lt;59.5,MAX(0,MIN((($Y330+$AJ330+AA330)*'Retirement Planning'!$J$44)-$G330-$X330,L330)),0))</f>
        <v>0</v>
      </c>
      <c r="N330" s="57">
        <f ca="1">(N329-O329)*(1+'Retirement Planning'!$J$23/12)</f>
        <v>0</v>
      </c>
      <c r="O330" s="59">
        <f ca="1">IF(B330&gt;59.5,MAX(0,MIN((AA330+$Y330+$AJ330)*(IF(D330&lt;(MIN(E318:E329)+1),1,'Retirement Planning'!$J$44))-M330-$G330-$X330-(IF(D330&lt;(MIN(E318:E329)+1),D330,0)),N330)),0)</f>
        <v>0</v>
      </c>
      <c r="P330" s="57">
        <f t="shared" si="125"/>
        <v>0</v>
      </c>
      <c r="Q330" s="58">
        <f t="shared" si="126"/>
        <v>0</v>
      </c>
      <c r="R330" s="57">
        <f ca="1">(R329-S329-T329)*(1+'Retirement Planning'!$J$23/12)</f>
        <v>957657.17858465645</v>
      </c>
      <c r="S330" s="58">
        <f t="shared" ca="1" si="127"/>
        <v>808.33333333333337</v>
      </c>
      <c r="T330" s="273">
        <f t="shared" ca="1" si="114"/>
        <v>-4.5474735088646412E-13</v>
      </c>
      <c r="U330" s="57">
        <f ca="1">(U329-V329)*(1+'Retirement Planning'!$J$23/12)</f>
        <v>607335.53016194364</v>
      </c>
      <c r="V330" s="24">
        <f ca="1">IF(AND($B$10&lt;55,B330&lt;59.5),MIN(U330,MAX(0,(Y330+AA330+AJ330-G330)*'Retirement Planning'!$J$45)),IF(B330&lt;59.5,(MIN(U330,MAX(0,((Y330+AA330+AJ330)-G330-M330)*'Retirement Planning'!$J$45))),MIN(U330,MAX(0,(Y330+AA330+AJ330-G330-M330-K330-X330)*'Retirement Planning'!$J$45))))</f>
        <v>1438.0627894545698</v>
      </c>
      <c r="W330" s="7">
        <f t="shared" ca="1" si="115"/>
        <v>3647098.3923030649</v>
      </c>
      <c r="X330" s="7">
        <f>(IF(B330&gt;'Retirement Planning'!$J$34,IF('Retirement Planning'!$J$34=70,'Retirement Planning'!$J$37/12,IF('Retirement Planning'!$J$34=67,'Retirement Planning'!$J$36/12,'Retirement Planning'!$J$35/12)),0))*'Retirement Planning'!$J$38</f>
        <v>1213.6000000000001</v>
      </c>
      <c r="Y330" s="7">
        <f ca="1">'Retirement Planning'!$F$35*((1+'Retirement Planning'!$J$24)^(YEAR('Projected Retirement Drawdown'!C330)-YEAR(TODAY())))</f>
        <v>12698.262875408038</v>
      </c>
      <c r="Z330" s="7">
        <f ca="1">G330+M330+O330+0.85*X330+V330*'Retirement Planning'!$J$46+T330</f>
        <v>13936.478738527267</v>
      </c>
      <c r="AA330" s="7">
        <f ca="1">IF(MONTH(C330)=1,(((MIN(MAX(0,((SUM(Z318:Z329)-'Retirement Planning'!$I$53-'Retirement Planning'!$I$54)-'Retirement Planning'!$J$51)*'Retirement Planning'!$I$52))))+(MIN(MAX(0,((SUM(Z318:Z329)-'Retirement Planning'!$I$53-'Retirement Planning'!$I$54)-'Retirement Planning'!$J$50)*'Retirement Planning'!$I$51),('Retirement Planning'!$J$51-'Retirement Planning'!$J$50)*'Retirement Planning'!$I$51))+(MIN(MAX(0,((SUM(Z318:Z329)-'Retirement Planning'!$I$53-'Retirement Planning'!$I$54)-'Retirement Planning'!$J$49)*'Retirement Planning'!$I$50),('Retirement Planning'!$J$50-'Retirement Planning'!$J$49)*'Retirement Planning'!$I$50)+MIN(MAX(0,((SUM(Z318:Z329)-'Retirement Planning'!$I$53-'Retirement Planning'!$I$54)-'Retirement Planning'!$J$48)*'Retirement Planning'!$I$49),('Retirement Planning'!$J$49-'Retirement Planning'!$J$48)*'Retirement Planning'!$I$49)+MIN(((SUM(Z318:Z329)-'Retirement Planning'!$I$53-'Retirement Planning'!$I$54))*'Retirement Planning'!$I$48,('Retirement Planning'!$J$48)*'Retirement Planning'!$I$48))+(IF((SUM(Z318:Z329)-'Retirement Planning'!$I$54-'Retirement Planning'!$I$61)&gt;'Retirement Planning'!$J$59,(SUM(Z318:Z329)-'Retirement Planning'!$I$54-'Retirement Planning'!$I$61-'Retirement Planning'!$J$59)*'Retirement Planning'!$I$60+'Retirement Planning'!$K$59,IF((SUM(Z318:Z329)-'Retirement Planning'!$I$54-'Retirement Planning'!$I$61)&gt;'Retirement Planning'!$J$58,(SUM(Z318:Z329)-'Retirement Planning'!$I$54-'Retirement Planning'!$I$61-'Retirement Planning'!$J$58)*'Retirement Planning'!$I$59+'Retirement Planning'!$K$58,IF((SUM(Z318:Z329)-'Retirement Planning'!$I$54-'Retirement Planning'!$I$61)&gt;'Retirement Planning'!$J$57,(SUM(Z318:Z329)-'Retirement Planning'!$I$54-'Retirement Planning'!$I$61-'Retirement Planning'!$J$57)*'Retirement Planning'!$I$58+'Retirement Planning'!$K$57,IF((SUM(Z318:Z329)-'Retirement Planning'!$I$54-'Retirement Planning'!$I$61)&gt;'Retirement Planning'!$J$56,(SUM(Z318:Z329)-'Retirement Planning'!$I$54-'Retirement Planning'!$I$61-'Retirement Planning'!$J$56)*'Retirement Planning'!$I$57+'Retirement Planning'!$K$56,(SUM(Z318:Z329)-'Retirement Planning'!$I$54-'Retirement Planning'!$I$61)*'Retirement Planning'!$I$56))))))/12,AA329)</f>
        <v>3438.8781175885688</v>
      </c>
      <c r="AB330" s="104">
        <f t="shared" ca="1" si="134"/>
        <v>0.25600258852781954</v>
      </c>
      <c r="AC330" s="7">
        <f>IF(B330&lt;65,'Retirement Planning'!$J$28,0)</f>
        <v>0</v>
      </c>
      <c r="AD330" s="7">
        <f>IF(B330&lt;65,'Retirement Planning'!$J$29/12,0)</f>
        <v>0</v>
      </c>
      <c r="AE330" s="22">
        <f>'Retirement Planning'!$J$31/12</f>
        <v>58.333333333333336</v>
      </c>
      <c r="AF330" s="22">
        <f>'Retirement Planning'!$J$32/12</f>
        <v>66.666666666666671</v>
      </c>
      <c r="AG330" s="7">
        <f>IF($B330&gt;64.9,'Retirement Planning'!$J$39/12,0)</f>
        <v>183.33333333333334</v>
      </c>
      <c r="AH330" s="7">
        <f>IF($B330&gt;64.9,'Retirement Planning'!$J$40/12,0)</f>
        <v>258.33333333333331</v>
      </c>
      <c r="AI330" s="7">
        <f>IF($B330&gt;64.9,'Retirement Planning'!$J$41/12,0)</f>
        <v>558.33333333333337</v>
      </c>
      <c r="AJ330" s="7">
        <f t="shared" ca="1" si="116"/>
        <v>316.66666666666663</v>
      </c>
      <c r="AK330" s="3" t="str">
        <f t="shared" ca="1" si="117"/>
        <v>N/A</v>
      </c>
      <c r="AL330" s="6" t="str">
        <f t="shared" ca="1" si="118"/>
        <v>N/A</v>
      </c>
      <c r="AM330" s="7">
        <f t="shared" ca="1" si="119"/>
        <v>-4.3200998334214091E-12</v>
      </c>
      <c r="AN330" s="7">
        <f t="shared" ca="1" si="120"/>
        <v>17262.140992996607</v>
      </c>
      <c r="AO330" s="7">
        <f t="shared" si="121"/>
        <v>1125</v>
      </c>
    </row>
    <row r="331" spans="1:41" x14ac:dyDescent="0.2">
      <c r="A331">
        <f t="shared" si="122"/>
        <v>50</v>
      </c>
      <c r="B331" s="5">
        <f t="shared" si="123"/>
        <v>83</v>
      </c>
      <c r="C331" s="56">
        <f t="shared" si="124"/>
        <v>56189</v>
      </c>
      <c r="D331" s="57">
        <f ca="1">IF(AND(B330&lt;59.5,OR(B331&gt;59.5,B331=59.5)),(D330-E330+J330-K330)*(1+'Retirement Planning'!$J$23/12),(D330-E330)*(1+'Retirement Planning'!$J$23/12))</f>
        <v>744443.54494042764</v>
      </c>
      <c r="E331" s="58">
        <f t="shared" ref="E331:E394" ca="1" si="139">MIN(D331,MAX(0,Y331+AA331+AJ331-X331-V331-M331-G331-K331))</f>
        <v>1688.1606658814508</v>
      </c>
      <c r="F331" s="57">
        <f ca="1">IF(AND(OR(B331&gt;59.5,B331=59.5),B330&lt;59.5),(F330-G330+L330-M330+N330-O330)*(1+'Retirement Planning'!$J$23/12),(F330-G330)*(1+'Retirement Planning'!$J$23/12))</f>
        <v>1338510.4771448562</v>
      </c>
      <c r="G331" s="58">
        <f ca="1">IF(AND($B$10&lt;55,B331&lt;59.5),'Retirement Planning'!$J$25,IF(OR(B331&gt;59.5,B331=59.5),MAX(0,MIN(F331,IF(D331&lt;2500,((Y331+AJ331+AA331))-X331,((Y331+AJ331+AA331)*'Retirement Planning'!$J$44)-X331))),0))</f>
        <v>12113.984204327253</v>
      </c>
      <c r="H331" s="255">
        <f ca="1">IF(MONTH(C331)=1,IF(B331&gt;69.5,F331/(INDEX('Retirement Planning'!D$1:D$264,(160+INT(B331))))/12,0),IF(F331=0,0,H330))</f>
        <v>11723.946867875422</v>
      </c>
      <c r="I331" s="262">
        <f t="shared" ref="I331:I394" ca="1" si="140">MAX(0,H331-G331)</f>
        <v>0</v>
      </c>
      <c r="J331" s="254">
        <f ca="1">IF(AND(B330&lt;59.5,OR(B331=59.5,B331&gt;59.5)),0,(J330-K330)*(1+'Retirement Planning'!$J$23/12))</f>
        <v>0</v>
      </c>
      <c r="K331" s="58">
        <f t="shared" ref="K331:K394" ca="1" si="141">IF(B331&gt;59.5,MAX(0,MIN(J331,AA331+Y331+AJ331-O331-M331-G331-X331)),0)</f>
        <v>0</v>
      </c>
      <c r="L331" s="57">
        <f>IF(AND(OR(B331&gt;59.5,B331=59.5),B330&lt;59.5),0,(L330-M330)*(1+'Retirement Planning'!$J$23/12))</f>
        <v>0</v>
      </c>
      <c r="M331" s="59">
        <f>IF(AND($B$10&lt;55,B331&lt;59.5),0,IF(B331&lt;59.5,MAX(0,MIN((($Y331+$AJ331+AA331)*'Retirement Planning'!$J$44)-$G331-$X331,L331)),0))</f>
        <v>0</v>
      </c>
      <c r="N331" s="57">
        <f ca="1">(N330-O330)*(1+'Retirement Planning'!$J$23/12)</f>
        <v>0</v>
      </c>
      <c r="O331" s="59">
        <f ca="1">IF(B331&gt;59.5,MAX(0,MIN((AA331+$Y331+$AJ331)*(IF(D331&lt;(MIN(E319:E330)+1),1,'Retirement Planning'!$J$44))-M331-$G331-$X331-(IF(D331&lt;(MIN(E319:E330)+1),D331,0)),N331)),0)</f>
        <v>0</v>
      </c>
      <c r="P331" s="57">
        <f t="shared" si="125"/>
        <v>0</v>
      </c>
      <c r="Q331" s="58">
        <f t="shared" si="126"/>
        <v>0</v>
      </c>
      <c r="R331" s="57">
        <f ca="1">(R330-S330-T330)*(1+'Retirement Planning'!$J$23/12)</f>
        <v>963626.52457185322</v>
      </c>
      <c r="S331" s="58">
        <f t="shared" ca="1" si="127"/>
        <v>808.33333333333337</v>
      </c>
      <c r="T331" s="273">
        <f t="shared" ref="T331:T394" ca="1" si="142">MIN(AN331-E331-G331-K331-M331-O331-Q331-S331-V331-X331,R331-S331)</f>
        <v>-4.5474735088646412E-13</v>
      </c>
      <c r="U331" s="57">
        <f ca="1">(U330-V330)*(1+'Retirement Planning'!$J$23/12)</f>
        <v>610189.24109971081</v>
      </c>
      <c r="V331" s="24">
        <f ca="1">IF(AND($B$10&lt;55,B331&lt;59.5),MIN(U331,MAX(0,(Y331+AA331+AJ331-G331)*'Retirement Planning'!$J$45)),IF(B331&lt;59.5,(MIN(U331,MAX(0,((Y331+AA331+AJ331)-G331-M331)*'Retirement Planning'!$J$45))),MIN(U331,MAX(0,(Y331+AA331+AJ331-G331-M331-K331-X331)*'Retirement Planning'!$J$45))))</f>
        <v>1438.0627894545698</v>
      </c>
      <c r="W331" s="7">
        <f t="shared" ref="W331:W394" ca="1" si="143">D331+F331+J331+L331+N331+P331+R331+U331</f>
        <v>3656769.7877568481</v>
      </c>
      <c r="X331" s="7">
        <f>(IF(B331&gt;'Retirement Planning'!$J$34,IF('Retirement Planning'!$J$34=70,'Retirement Planning'!$J$37/12,IF('Retirement Planning'!$J$34=67,'Retirement Planning'!$J$36/12,'Retirement Planning'!$J$35/12)),0))*'Retirement Planning'!$J$38</f>
        <v>1213.6000000000001</v>
      </c>
      <c r="Y331" s="7">
        <f ca="1">'Retirement Planning'!$F$35*((1+'Retirement Planning'!$J$24)^(YEAR('Projected Retirement Drawdown'!C331)-YEAR(TODAY())))</f>
        <v>12698.262875408038</v>
      </c>
      <c r="Z331" s="7">
        <f ca="1">G331+M331+O331+0.85*X331+V331*'Retirement Planning'!$J$46+T331</f>
        <v>13936.478738527267</v>
      </c>
      <c r="AA331" s="7">
        <f ca="1">IF(MONTH(C331)=1,(((MIN(MAX(0,((SUM(Z319:Z330)-'Retirement Planning'!$I$53-'Retirement Planning'!$I$54)-'Retirement Planning'!$J$51)*'Retirement Planning'!$I$52))))+(MIN(MAX(0,((SUM(Z319:Z330)-'Retirement Planning'!$I$53-'Retirement Planning'!$I$54)-'Retirement Planning'!$J$50)*'Retirement Planning'!$I$51),('Retirement Planning'!$J$51-'Retirement Planning'!$J$50)*'Retirement Planning'!$I$51))+(MIN(MAX(0,((SUM(Z319:Z330)-'Retirement Planning'!$I$53-'Retirement Planning'!$I$54)-'Retirement Planning'!$J$49)*'Retirement Planning'!$I$50),('Retirement Planning'!$J$50-'Retirement Planning'!$J$49)*'Retirement Planning'!$I$50)+MIN(MAX(0,((SUM(Z319:Z330)-'Retirement Planning'!$I$53-'Retirement Planning'!$I$54)-'Retirement Planning'!$J$48)*'Retirement Planning'!$I$49),('Retirement Planning'!$J$49-'Retirement Planning'!$J$48)*'Retirement Planning'!$I$49)+MIN(((SUM(Z319:Z330)-'Retirement Planning'!$I$53-'Retirement Planning'!$I$54))*'Retirement Planning'!$I$48,('Retirement Planning'!$J$48)*'Retirement Planning'!$I$48))+(IF((SUM(Z319:Z330)-'Retirement Planning'!$I$54-'Retirement Planning'!$I$61)&gt;'Retirement Planning'!$J$59,(SUM(Z319:Z330)-'Retirement Planning'!$I$54-'Retirement Planning'!$I$61-'Retirement Planning'!$J$59)*'Retirement Planning'!$I$60+'Retirement Planning'!$K$59,IF((SUM(Z319:Z330)-'Retirement Planning'!$I$54-'Retirement Planning'!$I$61)&gt;'Retirement Planning'!$J$58,(SUM(Z319:Z330)-'Retirement Planning'!$I$54-'Retirement Planning'!$I$61-'Retirement Planning'!$J$58)*'Retirement Planning'!$I$59+'Retirement Planning'!$K$58,IF((SUM(Z319:Z330)-'Retirement Planning'!$I$54-'Retirement Planning'!$I$61)&gt;'Retirement Planning'!$J$57,(SUM(Z319:Z330)-'Retirement Planning'!$I$54-'Retirement Planning'!$I$61-'Retirement Planning'!$J$57)*'Retirement Planning'!$I$58+'Retirement Planning'!$K$57,IF((SUM(Z319:Z330)-'Retirement Planning'!$I$54-'Retirement Planning'!$I$61)&gt;'Retirement Planning'!$J$56,(SUM(Z319:Z330)-'Retirement Planning'!$I$54-'Retirement Planning'!$I$61-'Retirement Planning'!$J$56)*'Retirement Planning'!$I$57+'Retirement Planning'!$K$56,(SUM(Z319:Z330)-'Retirement Planning'!$I$54-'Retirement Planning'!$I$61)*'Retirement Planning'!$I$56))))))/12,AA330)</f>
        <v>3438.8781175885688</v>
      </c>
      <c r="AB331" s="104">
        <f t="shared" ca="1" si="134"/>
        <v>0.25600258852781954</v>
      </c>
      <c r="AC331" s="7">
        <f>IF(B331&lt;65,'Retirement Planning'!$J$28,0)</f>
        <v>0</v>
      </c>
      <c r="AD331" s="7">
        <f>IF(B331&lt;65,'Retirement Planning'!$J$29/12,0)</f>
        <v>0</v>
      </c>
      <c r="AE331" s="22">
        <f>'Retirement Planning'!$J$31/12</f>
        <v>58.333333333333336</v>
      </c>
      <c r="AF331" s="22">
        <f>'Retirement Planning'!$J$32/12</f>
        <v>66.666666666666671</v>
      </c>
      <c r="AG331" s="7">
        <f>IF($B331&gt;64.9,'Retirement Planning'!$J$39/12,0)</f>
        <v>183.33333333333334</v>
      </c>
      <c r="AH331" s="7">
        <f>IF($B331&gt;64.9,'Retirement Planning'!$J$40/12,0)</f>
        <v>258.33333333333331</v>
      </c>
      <c r="AI331" s="7">
        <f>IF($B331&gt;64.9,'Retirement Planning'!$J$41/12,0)</f>
        <v>558.33333333333337</v>
      </c>
      <c r="AJ331" s="7">
        <f t="shared" ref="AJ331:AJ394" ca="1" si="144">AC331+AD331+AE331+AF331+AG331+AH331+AI331-S331-Q331</f>
        <v>316.66666666666663</v>
      </c>
      <c r="AK331" s="3" t="str">
        <f t="shared" ref="AK331:AK361" ca="1" si="145">IF(AND(R331&lt;AN331,R330&gt;AN330),C331,AK330)</f>
        <v>N/A</v>
      </c>
      <c r="AL331" s="6" t="str">
        <f t="shared" ref="AL331:AL361" ca="1" si="146">IF(AND(R331&lt;AN331,R330&gt;AN330),B331,AL330)</f>
        <v>N/A</v>
      </c>
      <c r="AM331" s="7">
        <f t="shared" ref="AM331:AM394" ca="1" si="147">AA331+Y331+AC331+AD331+AE331+AF331+AG331+AH331+AI331-X331-S331-Q331-O331-M331-K331-G331-E331-V331-T331</f>
        <v>-4.3200998334214091E-12</v>
      </c>
      <c r="AN331" s="7">
        <f t="shared" ref="AN331:AN394" ca="1" si="148">AI331+AH331+AG331+AF331+AE331+AD331+AC331+AA331+Y331</f>
        <v>17262.140992996607</v>
      </c>
      <c r="AO331" s="7">
        <f t="shared" ref="AO331:AO394" si="149">AC331+AD331+AE331+AF331+AG331+AH331+AI331</f>
        <v>1125</v>
      </c>
    </row>
    <row r="332" spans="1:41" x14ac:dyDescent="0.2">
      <c r="A332">
        <f t="shared" ref="A332:A395" si="150">IF(AND(B332&gt;59.5,B331&lt;59.6),ROW(B332),A331)</f>
        <v>50</v>
      </c>
      <c r="B332" s="5">
        <f t="shared" ref="B332:B395" si="151">(INT((((YEAR(C332)-YEAR(DATE(1970,10,16)))*12+MONTH(C332)-MONTH(DATE(1970,10,16)))/12)*10))/10</f>
        <v>83.1</v>
      </c>
      <c r="C332" s="56">
        <f t="shared" ref="C332:C395" si="152">DATE(YEAR(C331),MONTH(C331)+1,1)</f>
        <v>56219</v>
      </c>
      <c r="D332" s="57">
        <f ca="1">IF(AND(B331&lt;59.5,OR(B332&gt;59.5,B332=59.5)),(D331-E331+J331-K331)*(1+'Retirement Planning'!$J$23/12),(D331-E331)*(1+'Retirement Planning'!$J$23/12))</f>
        <v>748016.5682464909</v>
      </c>
      <c r="E332" s="58">
        <f t="shared" ca="1" si="139"/>
        <v>1688.1606658814508</v>
      </c>
      <c r="F332" s="57">
        <f ca="1">IF(AND(OR(B332&gt;59.5,B332=59.5),B331&lt;59.5),(F331-G331+L331-M331+N331-O331)*(1+'Retirement Planning'!$J$23/12),(F331-G331)*(1+'Retirement Planning'!$J$23/12))</f>
        <v>1335791.8014321912</v>
      </c>
      <c r="G332" s="58">
        <f ca="1">IF(AND($B$10&lt;55,B332&lt;59.5),'Retirement Planning'!$J$25,IF(OR(B332&gt;59.5,B332=59.5),MAX(0,MIN(F332,IF(D332&lt;2500,((Y332+AJ332+AA332))-X332,((Y332+AJ332+AA332)*'Retirement Planning'!$J$44)-X332))),0))</f>
        <v>12113.984204327253</v>
      </c>
      <c r="H332" s="255">
        <f ca="1">IF(MONTH(C332)=1,IF(B332&gt;69.5,F332/(INDEX('Retirement Planning'!D$1:D$264,(160+INT(B332))))/12,0),IF(F332=0,0,H331))</f>
        <v>11723.946867875422</v>
      </c>
      <c r="I332" s="262">
        <f t="shared" ca="1" si="140"/>
        <v>0</v>
      </c>
      <c r="J332" s="254">
        <f ca="1">IF(AND(B331&lt;59.5,OR(B332=59.5,B332&gt;59.5)),0,(J331-K331)*(1+'Retirement Planning'!$J$23/12))</f>
        <v>0</v>
      </c>
      <c r="K332" s="58">
        <f t="shared" ca="1" si="141"/>
        <v>0</v>
      </c>
      <c r="L332" s="57">
        <f>IF(AND(OR(B332&gt;59.5,B332=59.5),B331&lt;59.5),0,(L331-M331)*(1+'Retirement Planning'!$J$23/12))</f>
        <v>0</v>
      </c>
      <c r="M332" s="59">
        <f>IF(AND($B$10&lt;55,B332&lt;59.5),0,IF(B332&lt;59.5,MAX(0,MIN((($Y332+$AJ332+AA332)*'Retirement Planning'!$J$44)-$G332-$X332,L332)),0))</f>
        <v>0</v>
      </c>
      <c r="N332" s="57">
        <f ca="1">(N331-O331)*(1+'Retirement Planning'!$J$23/12)</f>
        <v>0</v>
      </c>
      <c r="O332" s="59">
        <f ca="1">IF(B332&gt;59.5,MAX(0,MIN((AA332+$Y332+$AJ332)*(IF(D332&lt;(MIN(E320:E331)+1),1,'Retirement Planning'!$J$44))-M332-$G332-$X332-(IF(D332&lt;(MIN(E320:E331)+1),D332,0)),N332)),0)</f>
        <v>0</v>
      </c>
      <c r="P332" s="57">
        <f t="shared" ref="P332:P395" si="153">P331-Q331</f>
        <v>0</v>
      </c>
      <c r="Q332" s="58">
        <f t="shared" ref="Q332:Q395" si="154">MIN(AC332+AE332+AH332,P332)</f>
        <v>0</v>
      </c>
      <c r="R332" s="57">
        <f ca="1">(R331-S331-T331)*(1+'Retirement Planning'!$J$23/12)</f>
        <v>969638.15342645941</v>
      </c>
      <c r="S332" s="58">
        <f t="shared" ref="S332:S395" ca="1" si="155">MIN(AD332+AF332+AG332+AI332,R332)</f>
        <v>808.33333333333337</v>
      </c>
      <c r="T332" s="273">
        <f t="shared" ca="1" si="142"/>
        <v>-4.5474735088646412E-13</v>
      </c>
      <c r="U332" s="57">
        <f ca="1">(U331-V331)*(1+'Retirement Planning'!$J$23/12)</f>
        <v>613063.16582328721</v>
      </c>
      <c r="V332" s="24">
        <f ca="1">IF(AND($B$10&lt;55,B332&lt;59.5),MIN(U332,MAX(0,(Y332+AA332+AJ332-G332)*'Retirement Planning'!$J$45)),IF(B332&lt;59.5,(MIN(U332,MAX(0,((Y332+AA332+AJ332)-G332-M332)*'Retirement Planning'!$J$45))),MIN(U332,MAX(0,(Y332+AA332+AJ332-G332-M332-K332-X332)*'Retirement Planning'!$J$45))))</f>
        <v>1438.0627894545698</v>
      </c>
      <c r="W332" s="7">
        <f t="shared" ca="1" si="143"/>
        <v>3666509.688928429</v>
      </c>
      <c r="X332" s="7">
        <f>(IF(B332&gt;'Retirement Planning'!$J$34,IF('Retirement Planning'!$J$34=70,'Retirement Planning'!$J$37/12,IF('Retirement Planning'!$J$34=67,'Retirement Planning'!$J$36/12,'Retirement Planning'!$J$35/12)),0))*'Retirement Planning'!$J$38</f>
        <v>1213.6000000000001</v>
      </c>
      <c r="Y332" s="7">
        <f ca="1">'Retirement Planning'!$F$35*((1+'Retirement Planning'!$J$24)^(YEAR('Projected Retirement Drawdown'!C332)-YEAR(TODAY())))</f>
        <v>12698.262875408038</v>
      </c>
      <c r="Z332" s="7">
        <f ca="1">G332+M332+O332+0.85*X332+V332*'Retirement Planning'!$J$46+T332</f>
        <v>13936.478738527267</v>
      </c>
      <c r="AA332" s="7">
        <f ca="1">IF(MONTH(C332)=1,(((MIN(MAX(0,((SUM(Z320:Z331)-'Retirement Planning'!$I$53-'Retirement Planning'!$I$54)-'Retirement Planning'!$J$51)*'Retirement Planning'!$I$52))))+(MIN(MAX(0,((SUM(Z320:Z331)-'Retirement Planning'!$I$53-'Retirement Planning'!$I$54)-'Retirement Planning'!$J$50)*'Retirement Planning'!$I$51),('Retirement Planning'!$J$51-'Retirement Planning'!$J$50)*'Retirement Planning'!$I$51))+(MIN(MAX(0,((SUM(Z320:Z331)-'Retirement Planning'!$I$53-'Retirement Planning'!$I$54)-'Retirement Planning'!$J$49)*'Retirement Planning'!$I$50),('Retirement Planning'!$J$50-'Retirement Planning'!$J$49)*'Retirement Planning'!$I$50)+MIN(MAX(0,((SUM(Z320:Z331)-'Retirement Planning'!$I$53-'Retirement Planning'!$I$54)-'Retirement Planning'!$J$48)*'Retirement Planning'!$I$49),('Retirement Planning'!$J$49-'Retirement Planning'!$J$48)*'Retirement Planning'!$I$49)+MIN(((SUM(Z320:Z331)-'Retirement Planning'!$I$53-'Retirement Planning'!$I$54))*'Retirement Planning'!$I$48,('Retirement Planning'!$J$48)*'Retirement Planning'!$I$48))+(IF((SUM(Z320:Z331)-'Retirement Planning'!$I$54-'Retirement Planning'!$I$61)&gt;'Retirement Planning'!$J$59,(SUM(Z320:Z331)-'Retirement Planning'!$I$54-'Retirement Planning'!$I$61-'Retirement Planning'!$J$59)*'Retirement Planning'!$I$60+'Retirement Planning'!$K$59,IF((SUM(Z320:Z331)-'Retirement Planning'!$I$54-'Retirement Planning'!$I$61)&gt;'Retirement Planning'!$J$58,(SUM(Z320:Z331)-'Retirement Planning'!$I$54-'Retirement Planning'!$I$61-'Retirement Planning'!$J$58)*'Retirement Planning'!$I$59+'Retirement Planning'!$K$58,IF((SUM(Z320:Z331)-'Retirement Planning'!$I$54-'Retirement Planning'!$I$61)&gt;'Retirement Planning'!$J$57,(SUM(Z320:Z331)-'Retirement Planning'!$I$54-'Retirement Planning'!$I$61-'Retirement Planning'!$J$57)*'Retirement Planning'!$I$58+'Retirement Planning'!$K$57,IF((SUM(Z320:Z331)-'Retirement Planning'!$I$54-'Retirement Planning'!$I$61)&gt;'Retirement Planning'!$J$56,(SUM(Z320:Z331)-'Retirement Planning'!$I$54-'Retirement Planning'!$I$61-'Retirement Planning'!$J$56)*'Retirement Planning'!$I$57+'Retirement Planning'!$K$56,(SUM(Z320:Z331)-'Retirement Planning'!$I$54-'Retirement Planning'!$I$61)*'Retirement Planning'!$I$56))))))/12,AA331)</f>
        <v>3438.8781175885688</v>
      </c>
      <c r="AB332" s="104">
        <f t="shared" ca="1" si="134"/>
        <v>0.25600258852781954</v>
      </c>
      <c r="AC332" s="7">
        <f>IF(B332&lt;65,'Retirement Planning'!$J$28,0)</f>
        <v>0</v>
      </c>
      <c r="AD332" s="7">
        <f>IF(B332&lt;65,'Retirement Planning'!$J$29/12,0)</f>
        <v>0</v>
      </c>
      <c r="AE332" s="22">
        <f>'Retirement Planning'!$J$31/12</f>
        <v>58.333333333333336</v>
      </c>
      <c r="AF332" s="22">
        <f>'Retirement Planning'!$J$32/12</f>
        <v>66.666666666666671</v>
      </c>
      <c r="AG332" s="7">
        <f>IF($B332&gt;64.9,'Retirement Planning'!$J$39/12,0)</f>
        <v>183.33333333333334</v>
      </c>
      <c r="AH332" s="7">
        <f>IF($B332&gt;64.9,'Retirement Planning'!$J$40/12,0)</f>
        <v>258.33333333333331</v>
      </c>
      <c r="AI332" s="7">
        <f>IF($B332&gt;64.9,'Retirement Planning'!$J$41/12,0)</f>
        <v>558.33333333333337</v>
      </c>
      <c r="AJ332" s="7">
        <f t="shared" ca="1" si="144"/>
        <v>316.66666666666663</v>
      </c>
      <c r="AK332" s="3" t="str">
        <f t="shared" ca="1" si="145"/>
        <v>N/A</v>
      </c>
      <c r="AL332" s="6" t="str">
        <f t="shared" ca="1" si="146"/>
        <v>N/A</v>
      </c>
      <c r="AM332" s="7">
        <f t="shared" ca="1" si="147"/>
        <v>-4.3200998334214091E-12</v>
      </c>
      <c r="AN332" s="7">
        <f t="shared" ca="1" si="148"/>
        <v>17262.140992996607</v>
      </c>
      <c r="AO332" s="7">
        <f t="shared" si="149"/>
        <v>1125</v>
      </c>
    </row>
    <row r="333" spans="1:41" x14ac:dyDescent="0.2">
      <c r="A333">
        <f t="shared" si="150"/>
        <v>50</v>
      </c>
      <c r="B333" s="5">
        <f t="shared" si="151"/>
        <v>83.2</v>
      </c>
      <c r="C333" s="56">
        <f t="shared" si="152"/>
        <v>56250</v>
      </c>
      <c r="D333" s="57">
        <f ca="1">IF(AND(B332&lt;59.5,OR(B333&gt;59.5,B333=59.5)),(D332-E332+J332-K332)*(1+'Retirement Planning'!$J$23/12),(D332-E332)*(1+'Retirement Planning'!$J$23/12))</f>
        <v>751614.90046763874</v>
      </c>
      <c r="E333" s="58">
        <f t="shared" ca="1" si="139"/>
        <v>1750.569896126075</v>
      </c>
      <c r="F333" s="57">
        <f ca="1">IF(AND(OR(B333&gt;59.5,B333=59.5),B332&lt;59.5),(F332-G332+L332-M332+N332-O332)*(1+'Retirement Planning'!$J$23/12),(F332-G332)*(1+'Retirement Planning'!$J$23/12))</f>
        <v>1333053.868433228</v>
      </c>
      <c r="G333" s="58">
        <f ca="1">IF(AND($B$10&lt;55,B333&lt;59.5),'Retirement Planning'!$J$25,IF(OR(B333&gt;59.5,B333=59.5),MAX(0,MIN(F333,IF(D333&lt;2500,((Y333+AJ333+AA333))-X333,((Y333+AJ333+AA333)*'Retirement Planning'!$J$44)-X333))),0))</f>
        <v>12606.688653626914</v>
      </c>
      <c r="H333" s="255">
        <f ca="1">IF(MONTH(C333)=1,IF(B333&gt;69.5,F333/(INDEX('Retirement Planning'!D$1:D$264,(160+INT(B333))))/12,0),IF(F333=0,0,H332))</f>
        <v>12207.453007630293</v>
      </c>
      <c r="I333" s="262">
        <f t="shared" ca="1" si="140"/>
        <v>0</v>
      </c>
      <c r="J333" s="254">
        <f ca="1">IF(AND(B332&lt;59.5,OR(B333=59.5,B333&gt;59.5)),0,(J332-K332)*(1+'Retirement Planning'!$J$23/12))</f>
        <v>0</v>
      </c>
      <c r="K333" s="58">
        <f t="shared" ca="1" si="141"/>
        <v>0</v>
      </c>
      <c r="L333" s="57">
        <f>IF(AND(OR(B333&gt;59.5,B333=59.5),B332&lt;59.5),0,(L332-M332)*(1+'Retirement Planning'!$J$23/12))</f>
        <v>0</v>
      </c>
      <c r="M333" s="59">
        <f>IF(AND($B$10&lt;55,B333&lt;59.5),0,IF(B333&lt;59.5,MAX(0,MIN((($Y333+$AJ333+AA333)*'Retirement Planning'!$J$44)-$G333-$X333,L333)),0))</f>
        <v>0</v>
      </c>
      <c r="N333" s="57">
        <f ca="1">(N332-O332)*(1+'Retirement Planning'!$J$23/12)</f>
        <v>0</v>
      </c>
      <c r="O333" s="59">
        <f ca="1">IF(B333&gt;59.5,MAX(0,MIN((AA333+$Y333+$AJ333)*(IF(D333&lt;(MIN(E321:E332)+1),1,'Retirement Planning'!$J$44))-M333-$G333-$X333-(IF(D333&lt;(MIN(E321:E332)+1),D333,0)),N333)),0)</f>
        <v>0</v>
      </c>
      <c r="P333" s="57">
        <f t="shared" si="153"/>
        <v>0</v>
      </c>
      <c r="Q333" s="58">
        <f t="shared" si="154"/>
        <v>0</v>
      </c>
      <c r="R333" s="57">
        <f ca="1">(R332-S332-T332)*(1+'Retirement Planning'!$J$23/12)</f>
        <v>975692.36465211899</v>
      </c>
      <c r="S333" s="58">
        <f t="shared" ca="1" si="155"/>
        <v>808.33333333333337</v>
      </c>
      <c r="T333" s="273">
        <f t="shared" ca="1" si="142"/>
        <v>-9.0949470177292824E-13</v>
      </c>
      <c r="U333" s="57">
        <f ca="1">(U332-V332)*(1+'Retirement Planning'!$J$23/12)</f>
        <v>615957.44751365564</v>
      </c>
      <c r="V333" s="24">
        <f ca="1">IF(AND($B$10&lt;55,B333&lt;59.5),MIN(U333,MAX(0,(Y333+AA333+AJ333-G333)*'Retirement Planning'!$J$45)),IF(B333&lt;59.5,(MIN(U333,MAX(0,((Y333+AA333+AJ333)-G333-M333)*'Retirement Planning'!$J$45))),MIN(U333,MAX(0,(Y333+AA333+AJ333-G333-M333-K333-X333)*'Retirement Planning'!$J$45))))</f>
        <v>1491.2262078111014</v>
      </c>
      <c r="W333" s="7">
        <f t="shared" ca="1" si="143"/>
        <v>3676318.5810666415</v>
      </c>
      <c r="X333" s="7">
        <f>(IF(B333&gt;'Retirement Planning'!$J$34,IF('Retirement Planning'!$J$34=70,'Retirement Planning'!$J$37/12,IF('Retirement Planning'!$J$34=67,'Retirement Planning'!$J$36/12,'Retirement Planning'!$J$35/12)),0))*'Retirement Planning'!$J$38</f>
        <v>1213.6000000000001</v>
      </c>
      <c r="Y333" s="7">
        <f ca="1">'Retirement Planning'!$F$35*((1+'Retirement Planning'!$J$24)^(YEAR('Projected Retirement Drawdown'!C333)-YEAR(TODAY())))</f>
        <v>13142.702076047317</v>
      </c>
      <c r="Z333" s="7">
        <f ca="1">G333+M333+O333+0.85*X333+V333*'Retirement Planning'!$J$46+T333</f>
        <v>14458.423067923017</v>
      </c>
      <c r="AA333" s="7">
        <f ca="1">IF(MONTH(C333)=1,(((MIN(MAX(0,((SUM(Z321:Z332)-'Retirement Planning'!$I$53-'Retirement Planning'!$I$54)-'Retirement Planning'!$J$51)*'Retirement Planning'!$I$52))))+(MIN(MAX(0,((SUM(Z321:Z332)-'Retirement Planning'!$I$53-'Retirement Planning'!$I$54)-'Retirement Planning'!$J$50)*'Retirement Planning'!$I$51),('Retirement Planning'!$J$51-'Retirement Planning'!$J$50)*'Retirement Planning'!$I$51))+(MIN(MAX(0,((SUM(Z321:Z332)-'Retirement Planning'!$I$53-'Retirement Planning'!$I$54)-'Retirement Planning'!$J$49)*'Retirement Planning'!$I$50),('Retirement Planning'!$J$50-'Retirement Planning'!$J$49)*'Retirement Planning'!$I$50)+MIN(MAX(0,((SUM(Z321:Z332)-'Retirement Planning'!$I$53-'Retirement Planning'!$I$54)-'Retirement Planning'!$J$48)*'Retirement Planning'!$I$49),('Retirement Planning'!$J$49-'Retirement Planning'!$J$48)*'Retirement Planning'!$I$49)+MIN(((SUM(Z321:Z332)-'Retirement Planning'!$I$53-'Retirement Planning'!$I$54))*'Retirement Planning'!$I$48,('Retirement Planning'!$J$48)*'Retirement Planning'!$I$48))+(IF((SUM(Z321:Z332)-'Retirement Planning'!$I$54-'Retirement Planning'!$I$61)&gt;'Retirement Planning'!$J$59,(SUM(Z321:Z332)-'Retirement Planning'!$I$54-'Retirement Planning'!$I$61-'Retirement Planning'!$J$59)*'Retirement Planning'!$I$60+'Retirement Planning'!$K$59,IF((SUM(Z321:Z332)-'Retirement Planning'!$I$54-'Retirement Planning'!$I$61)&gt;'Retirement Planning'!$J$58,(SUM(Z321:Z332)-'Retirement Planning'!$I$54-'Retirement Planning'!$I$61-'Retirement Planning'!$J$58)*'Retirement Planning'!$I$59+'Retirement Planning'!$K$58,IF((SUM(Z321:Z332)-'Retirement Planning'!$I$54-'Retirement Planning'!$I$61)&gt;'Retirement Planning'!$J$57,(SUM(Z321:Z332)-'Retirement Planning'!$I$54-'Retirement Planning'!$I$61-'Retirement Planning'!$J$57)*'Retirement Planning'!$I$58+'Retirement Planning'!$K$57,IF((SUM(Z321:Z332)-'Retirement Planning'!$I$54-'Retirement Planning'!$I$61)&gt;'Retirement Planning'!$J$56,(SUM(Z321:Z332)-'Retirement Planning'!$I$54-'Retirement Planning'!$I$61-'Retirement Planning'!$J$56)*'Retirement Planning'!$I$57+'Retirement Planning'!$K$56,(SUM(Z321:Z332)-'Retirement Planning'!$I$54-'Retirement Planning'!$I$61)*'Retirement Planning'!$I$56))))))/12,AA332)</f>
        <v>3602.7160148501066</v>
      </c>
      <c r="AB333" s="104">
        <f t="shared" ref="AB333" ca="1" si="156">SUM(AA333:AA344)/SUM(Z321:Z332)</f>
        <v>0.25850977728616847</v>
      </c>
      <c r="AC333" s="7">
        <f>IF(B333&lt;65,'Retirement Planning'!$J$28,0)</f>
        <v>0</v>
      </c>
      <c r="AD333" s="7">
        <f>IF(B333&lt;65,'Retirement Planning'!$J$29/12,0)</f>
        <v>0</v>
      </c>
      <c r="AE333" s="22">
        <f>'Retirement Planning'!$J$31/12</f>
        <v>58.333333333333336</v>
      </c>
      <c r="AF333" s="22">
        <f>'Retirement Planning'!$J$32/12</f>
        <v>66.666666666666671</v>
      </c>
      <c r="AG333" s="7">
        <f>IF($B333&gt;64.9,'Retirement Planning'!$J$39/12,0)</f>
        <v>183.33333333333334</v>
      </c>
      <c r="AH333" s="7">
        <f>IF($B333&gt;64.9,'Retirement Planning'!$J$40/12,0)</f>
        <v>258.33333333333331</v>
      </c>
      <c r="AI333" s="7">
        <f>IF($B333&gt;64.9,'Retirement Planning'!$J$41/12,0)</f>
        <v>558.33333333333337</v>
      </c>
      <c r="AJ333" s="7">
        <f t="shared" ca="1" si="144"/>
        <v>316.66666666666663</v>
      </c>
      <c r="AK333" s="3" t="str">
        <f t="shared" ca="1" si="145"/>
        <v>N/A</v>
      </c>
      <c r="AL333" s="6" t="str">
        <f t="shared" ca="1" si="146"/>
        <v>N/A</v>
      </c>
      <c r="AM333" s="7">
        <f t="shared" ca="1" si="147"/>
        <v>-2.5011104298755527E-12</v>
      </c>
      <c r="AN333" s="7">
        <f t="shared" ca="1" si="148"/>
        <v>17870.418090897423</v>
      </c>
      <c r="AO333" s="7">
        <f t="shared" si="149"/>
        <v>1125</v>
      </c>
    </row>
    <row r="334" spans="1:41" x14ac:dyDescent="0.2">
      <c r="A334">
        <f t="shared" si="150"/>
        <v>50</v>
      </c>
      <c r="B334" s="5">
        <f t="shared" si="151"/>
        <v>83.3</v>
      </c>
      <c r="C334" s="56">
        <f t="shared" si="152"/>
        <v>56281</v>
      </c>
      <c r="D334" s="57">
        <f ca="1">IF(AND(B333&lt;59.5,OR(B334&gt;59.5,B334=59.5)),(D333-E333+J333-K333)*(1+'Retirement Planning'!$J$23/12),(D333-E333)*(1+'Retirement Planning'!$J$23/12))</f>
        <v>755175.86957972753</v>
      </c>
      <c r="E334" s="58">
        <f t="shared" ca="1" si="139"/>
        <v>1750.569896126075</v>
      </c>
      <c r="F334" s="57">
        <f ca="1">IF(AND(OR(B334&gt;59.5,B334=59.5),B333&lt;59.5),(F333-G333+L333-M333+N333-O333)*(1+'Retirement Planning'!$J$23/12),(F333-G333)*(1+'Retirement Planning'!$J$23/12))</f>
        <v>1329800.3473030399</v>
      </c>
      <c r="G334" s="58">
        <f ca="1">IF(AND($B$10&lt;55,B334&lt;59.5),'Retirement Planning'!$J$25,IF(OR(B334&gt;59.5,B334=59.5),MAX(0,MIN(F334,IF(D334&lt;2500,((Y334+AJ334+AA334))-X334,((Y334+AJ334+AA334)*'Retirement Planning'!$J$44)-X334))),0))</f>
        <v>12606.688653626914</v>
      </c>
      <c r="H334" s="255">
        <f ca="1">IF(MONTH(C334)=1,IF(B334&gt;69.5,F334/(INDEX('Retirement Planning'!D$1:D$264,(160+INT(B334))))/12,0),IF(F334=0,0,H333))</f>
        <v>12207.453007630293</v>
      </c>
      <c r="I334" s="262">
        <f t="shared" ca="1" si="140"/>
        <v>0</v>
      </c>
      <c r="J334" s="254">
        <f ca="1">IF(AND(B333&lt;59.5,OR(B334=59.5,B334&gt;59.5)),0,(J333-K333)*(1+'Retirement Planning'!$J$23/12))</f>
        <v>0</v>
      </c>
      <c r="K334" s="58">
        <f t="shared" ca="1" si="141"/>
        <v>0</v>
      </c>
      <c r="L334" s="57">
        <f>IF(AND(OR(B334&gt;59.5,B334=59.5),B333&lt;59.5),0,(L333-M333)*(1+'Retirement Planning'!$J$23/12))</f>
        <v>0</v>
      </c>
      <c r="M334" s="59">
        <f>IF(AND($B$10&lt;55,B334&lt;59.5),0,IF(B334&lt;59.5,MAX(0,MIN((($Y334+$AJ334+AA334)*'Retirement Planning'!$J$44)-$G334-$X334,L334)),0))</f>
        <v>0</v>
      </c>
      <c r="N334" s="57">
        <f ca="1">(N333-O333)*(1+'Retirement Planning'!$J$23/12)</f>
        <v>0</v>
      </c>
      <c r="O334" s="59">
        <f ca="1">IF(B334&gt;59.5,MAX(0,MIN((AA334+$Y334+$AJ334)*(IF(D334&lt;(MIN(E322:E333)+1),1,'Retirement Planning'!$J$44))-M334-$G334-$X334-(IF(D334&lt;(MIN(E322:E333)+1),D334,0)),N334)),0)</f>
        <v>0</v>
      </c>
      <c r="P334" s="57">
        <f t="shared" si="153"/>
        <v>0</v>
      </c>
      <c r="Q334" s="58">
        <f t="shared" si="154"/>
        <v>0</v>
      </c>
      <c r="R334" s="57">
        <f ca="1">(R333-S333-T333)*(1+'Retirement Planning'!$J$23/12)</f>
        <v>981789.45987396035</v>
      </c>
      <c r="S334" s="58">
        <f t="shared" ca="1" si="155"/>
        <v>808.33333333333337</v>
      </c>
      <c r="T334" s="273">
        <f t="shared" ca="1" si="142"/>
        <v>-9.0949470177292824E-13</v>
      </c>
      <c r="U334" s="57">
        <f ca="1">(U333-V333)*(1+'Retirement Planning'!$J$23/12)</f>
        <v>618818.69037342758</v>
      </c>
      <c r="V334" s="24">
        <f ca="1">IF(AND($B$10&lt;55,B334&lt;59.5),MIN(U334,MAX(0,(Y334+AA334+AJ334-G334)*'Retirement Planning'!$J$45)),IF(B334&lt;59.5,(MIN(U334,MAX(0,((Y334+AA334+AJ334)-G334-M334)*'Retirement Planning'!$J$45))),MIN(U334,MAX(0,(Y334+AA334+AJ334-G334-M334-K334-X334)*'Retirement Planning'!$J$45))))</f>
        <v>1491.2262078111014</v>
      </c>
      <c r="W334" s="7">
        <f t="shared" ca="1" si="143"/>
        <v>3685584.3671301552</v>
      </c>
      <c r="X334" s="7">
        <f>(IF(B334&gt;'Retirement Planning'!$J$34,IF('Retirement Planning'!$J$34=70,'Retirement Planning'!$J$37/12,IF('Retirement Planning'!$J$34=67,'Retirement Planning'!$J$36/12,'Retirement Planning'!$J$35/12)),0))*'Retirement Planning'!$J$38</f>
        <v>1213.6000000000001</v>
      </c>
      <c r="Y334" s="7">
        <f ca="1">'Retirement Planning'!$F$35*((1+'Retirement Planning'!$J$24)^(YEAR('Projected Retirement Drawdown'!C334)-YEAR(TODAY())))</f>
        <v>13142.702076047317</v>
      </c>
      <c r="Z334" s="7">
        <f ca="1">G334+M334+O334+0.85*X334+V334*'Retirement Planning'!$J$46+T334</f>
        <v>14458.423067923017</v>
      </c>
      <c r="AA334" s="7">
        <f ca="1">IF(MONTH(C334)=1,(((MIN(MAX(0,((SUM(Z322:Z333)-'Retirement Planning'!$I$53-'Retirement Planning'!$I$54)-'Retirement Planning'!$J$51)*'Retirement Planning'!$I$52))))+(MIN(MAX(0,((SUM(Z322:Z333)-'Retirement Planning'!$I$53-'Retirement Planning'!$I$54)-'Retirement Planning'!$J$50)*'Retirement Planning'!$I$51),('Retirement Planning'!$J$51-'Retirement Planning'!$J$50)*'Retirement Planning'!$I$51))+(MIN(MAX(0,((SUM(Z322:Z333)-'Retirement Planning'!$I$53-'Retirement Planning'!$I$54)-'Retirement Planning'!$J$49)*'Retirement Planning'!$I$50),('Retirement Planning'!$J$50-'Retirement Planning'!$J$49)*'Retirement Planning'!$I$50)+MIN(MAX(0,((SUM(Z322:Z333)-'Retirement Planning'!$I$53-'Retirement Planning'!$I$54)-'Retirement Planning'!$J$48)*'Retirement Planning'!$I$49),('Retirement Planning'!$J$49-'Retirement Planning'!$J$48)*'Retirement Planning'!$I$49)+MIN(((SUM(Z322:Z333)-'Retirement Planning'!$I$53-'Retirement Planning'!$I$54))*'Retirement Planning'!$I$48,('Retirement Planning'!$J$48)*'Retirement Planning'!$I$48))+(IF((SUM(Z322:Z333)-'Retirement Planning'!$I$54-'Retirement Planning'!$I$61)&gt;'Retirement Planning'!$J$59,(SUM(Z322:Z333)-'Retirement Planning'!$I$54-'Retirement Planning'!$I$61-'Retirement Planning'!$J$59)*'Retirement Planning'!$I$60+'Retirement Planning'!$K$59,IF((SUM(Z322:Z333)-'Retirement Planning'!$I$54-'Retirement Planning'!$I$61)&gt;'Retirement Planning'!$J$58,(SUM(Z322:Z333)-'Retirement Planning'!$I$54-'Retirement Planning'!$I$61-'Retirement Planning'!$J$58)*'Retirement Planning'!$I$59+'Retirement Planning'!$K$58,IF((SUM(Z322:Z333)-'Retirement Planning'!$I$54-'Retirement Planning'!$I$61)&gt;'Retirement Planning'!$J$57,(SUM(Z322:Z333)-'Retirement Planning'!$I$54-'Retirement Planning'!$I$61-'Retirement Planning'!$J$57)*'Retirement Planning'!$I$58+'Retirement Planning'!$K$57,IF((SUM(Z322:Z333)-'Retirement Planning'!$I$54-'Retirement Planning'!$I$61)&gt;'Retirement Planning'!$J$56,(SUM(Z322:Z333)-'Retirement Planning'!$I$54-'Retirement Planning'!$I$61-'Retirement Planning'!$J$56)*'Retirement Planning'!$I$57+'Retirement Planning'!$K$56,(SUM(Z322:Z333)-'Retirement Planning'!$I$54-'Retirement Planning'!$I$61)*'Retirement Planning'!$I$56))))))/12,AA333)</f>
        <v>3602.7160148501066</v>
      </c>
      <c r="AB334" s="104">
        <f t="shared" ref="AB334:AB365" ca="1" si="157">AB333</f>
        <v>0.25850977728616847</v>
      </c>
      <c r="AC334" s="7">
        <f>IF(B334&lt;65,'Retirement Planning'!$J$28,0)</f>
        <v>0</v>
      </c>
      <c r="AD334" s="7">
        <f>IF(B334&lt;65,'Retirement Planning'!$J$29/12,0)</f>
        <v>0</v>
      </c>
      <c r="AE334" s="22">
        <f>'Retirement Planning'!$J$31/12</f>
        <v>58.333333333333336</v>
      </c>
      <c r="AF334" s="22">
        <f>'Retirement Planning'!$J$32/12</f>
        <v>66.666666666666671</v>
      </c>
      <c r="AG334" s="7">
        <f>IF($B334&gt;64.9,'Retirement Planning'!$J$39/12,0)</f>
        <v>183.33333333333334</v>
      </c>
      <c r="AH334" s="7">
        <f>IF($B334&gt;64.9,'Retirement Planning'!$J$40/12,0)</f>
        <v>258.33333333333331</v>
      </c>
      <c r="AI334" s="7">
        <f>IF($B334&gt;64.9,'Retirement Planning'!$J$41/12,0)</f>
        <v>558.33333333333337</v>
      </c>
      <c r="AJ334" s="7">
        <f t="shared" ca="1" si="144"/>
        <v>316.66666666666663</v>
      </c>
      <c r="AK334" s="3" t="str">
        <f t="shared" ca="1" si="145"/>
        <v>N/A</v>
      </c>
      <c r="AL334" s="6" t="str">
        <f t="shared" ca="1" si="146"/>
        <v>N/A</v>
      </c>
      <c r="AM334" s="7">
        <f t="shared" ca="1" si="147"/>
        <v>-2.5011104298755527E-12</v>
      </c>
      <c r="AN334" s="7">
        <f t="shared" ca="1" si="148"/>
        <v>17870.418090897423</v>
      </c>
      <c r="AO334" s="7">
        <f t="shared" si="149"/>
        <v>1125</v>
      </c>
    </row>
    <row r="335" spans="1:41" x14ac:dyDescent="0.2">
      <c r="A335">
        <f t="shared" si="150"/>
        <v>50</v>
      </c>
      <c r="B335" s="5">
        <f t="shared" si="151"/>
        <v>83.4</v>
      </c>
      <c r="C335" s="56">
        <f t="shared" si="152"/>
        <v>56309</v>
      </c>
      <c r="D335" s="57">
        <f ca="1">IF(AND(B334&lt;59.5,OR(B335&gt;59.5,B335=59.5)),(D334-E334+J334-K334)*(1+'Retirement Planning'!$J$23/12),(D334-E334)*(1+'Retirement Planning'!$J$23/12))</f>
        <v>758762.06222302699</v>
      </c>
      <c r="E335" s="58">
        <f t="shared" ca="1" si="139"/>
        <v>1750.569896126075</v>
      </c>
      <c r="F335" s="57">
        <f ca="1">IF(AND(OR(B335&gt;59.5,B335=59.5),B334&lt;59.5),(F334-G334+L334-M334+N334-O334)*(1+'Retirement Planning'!$J$23/12),(F334-G334)*(1+'Retirement Planning'!$J$23/12))</f>
        <v>1326523.7803981795</v>
      </c>
      <c r="G335" s="58">
        <f ca="1">IF(AND($B$10&lt;55,B335&lt;59.5),'Retirement Planning'!$J$25,IF(OR(B335&gt;59.5,B335=59.5),MAX(0,MIN(F335,IF(D335&lt;2500,((Y335+AJ335+AA335))-X335,((Y335+AJ335+AA335)*'Retirement Planning'!$J$44)-X335))),0))</f>
        <v>12606.688653626914</v>
      </c>
      <c r="H335" s="255">
        <f ca="1">IF(MONTH(C335)=1,IF(B335&gt;69.5,F335/(INDEX('Retirement Planning'!D$1:D$264,(160+INT(B335))))/12,0),IF(F335=0,0,H334))</f>
        <v>12207.453007630293</v>
      </c>
      <c r="I335" s="262">
        <f t="shared" ca="1" si="140"/>
        <v>0</v>
      </c>
      <c r="J335" s="254">
        <f ca="1">IF(AND(B334&lt;59.5,OR(B335=59.5,B335&gt;59.5)),0,(J334-K334)*(1+'Retirement Planning'!$J$23/12))</f>
        <v>0</v>
      </c>
      <c r="K335" s="58">
        <f t="shared" ca="1" si="141"/>
        <v>0</v>
      </c>
      <c r="L335" s="57">
        <f>IF(AND(OR(B335&gt;59.5,B335=59.5),B334&lt;59.5),0,(L334-M334)*(1+'Retirement Planning'!$J$23/12))</f>
        <v>0</v>
      </c>
      <c r="M335" s="59">
        <f>IF(AND($B$10&lt;55,B335&lt;59.5),0,IF(B335&lt;59.5,MAX(0,MIN((($Y335+$AJ335+AA335)*'Retirement Planning'!$J$44)-$G335-$X335,L335)),0))</f>
        <v>0</v>
      </c>
      <c r="N335" s="57">
        <f ca="1">(N334-O334)*(1+'Retirement Planning'!$J$23/12)</f>
        <v>0</v>
      </c>
      <c r="O335" s="59">
        <f ca="1">IF(B335&gt;59.5,MAX(0,MIN((AA335+$Y335+$AJ335)*(IF(D335&lt;(MIN(E323:E334)+1),1,'Retirement Planning'!$J$44))-M335-$G335-$X335-(IF(D335&lt;(MIN(E323:E334)+1),D335,0)),N335)),0)</f>
        <v>0</v>
      </c>
      <c r="P335" s="57">
        <f t="shared" si="153"/>
        <v>0</v>
      </c>
      <c r="Q335" s="58">
        <f t="shared" si="154"/>
        <v>0</v>
      </c>
      <c r="R335" s="57">
        <f ca="1">(R334-S334-T334)*(1+'Retirement Planning'!$J$23/12)</f>
        <v>987929.74285362312</v>
      </c>
      <c r="S335" s="58">
        <f t="shared" ca="1" si="155"/>
        <v>808.33333333333337</v>
      </c>
      <c r="T335" s="273">
        <f t="shared" ca="1" si="142"/>
        <v>-9.0949470177292824E-13</v>
      </c>
      <c r="U335" s="57">
        <f ca="1">(U334-V334)*(1+'Retirement Planning'!$J$23/12)</f>
        <v>621700.20037012291</v>
      </c>
      <c r="V335" s="24">
        <f ca="1">IF(AND($B$10&lt;55,B335&lt;59.5),MIN(U335,MAX(0,(Y335+AA335+AJ335-G335)*'Retirement Planning'!$J$45)),IF(B335&lt;59.5,(MIN(U335,MAX(0,((Y335+AA335+AJ335)-G335-M335)*'Retirement Planning'!$J$45))),MIN(U335,MAX(0,(Y335+AA335+AJ335-G335-M335-K335-X335)*'Retirement Planning'!$J$45))))</f>
        <v>1491.2262078111014</v>
      </c>
      <c r="W335" s="7">
        <f t="shared" ca="1" si="143"/>
        <v>3694915.7858449528</v>
      </c>
      <c r="X335" s="7">
        <f>(IF(B335&gt;'Retirement Planning'!$J$34,IF('Retirement Planning'!$J$34=70,'Retirement Planning'!$J$37/12,IF('Retirement Planning'!$J$34=67,'Retirement Planning'!$J$36/12,'Retirement Planning'!$J$35/12)),0))*'Retirement Planning'!$J$38</f>
        <v>1213.6000000000001</v>
      </c>
      <c r="Y335" s="7">
        <f ca="1">'Retirement Planning'!$F$35*((1+'Retirement Planning'!$J$24)^(YEAR('Projected Retirement Drawdown'!C335)-YEAR(TODAY())))</f>
        <v>13142.702076047317</v>
      </c>
      <c r="Z335" s="7">
        <f ca="1">G335+M335+O335+0.85*X335+V335*'Retirement Planning'!$J$46+T335</f>
        <v>14458.423067923017</v>
      </c>
      <c r="AA335" s="7">
        <f ca="1">IF(MONTH(C335)=1,(((MIN(MAX(0,((SUM(Z323:Z334)-'Retirement Planning'!$I$53-'Retirement Planning'!$I$54)-'Retirement Planning'!$J$51)*'Retirement Planning'!$I$52))))+(MIN(MAX(0,((SUM(Z323:Z334)-'Retirement Planning'!$I$53-'Retirement Planning'!$I$54)-'Retirement Planning'!$J$50)*'Retirement Planning'!$I$51),('Retirement Planning'!$J$51-'Retirement Planning'!$J$50)*'Retirement Planning'!$I$51))+(MIN(MAX(0,((SUM(Z323:Z334)-'Retirement Planning'!$I$53-'Retirement Planning'!$I$54)-'Retirement Planning'!$J$49)*'Retirement Planning'!$I$50),('Retirement Planning'!$J$50-'Retirement Planning'!$J$49)*'Retirement Planning'!$I$50)+MIN(MAX(0,((SUM(Z323:Z334)-'Retirement Planning'!$I$53-'Retirement Planning'!$I$54)-'Retirement Planning'!$J$48)*'Retirement Planning'!$I$49),('Retirement Planning'!$J$49-'Retirement Planning'!$J$48)*'Retirement Planning'!$I$49)+MIN(((SUM(Z323:Z334)-'Retirement Planning'!$I$53-'Retirement Planning'!$I$54))*'Retirement Planning'!$I$48,('Retirement Planning'!$J$48)*'Retirement Planning'!$I$48))+(IF((SUM(Z323:Z334)-'Retirement Planning'!$I$54-'Retirement Planning'!$I$61)&gt;'Retirement Planning'!$J$59,(SUM(Z323:Z334)-'Retirement Planning'!$I$54-'Retirement Planning'!$I$61-'Retirement Planning'!$J$59)*'Retirement Planning'!$I$60+'Retirement Planning'!$K$59,IF((SUM(Z323:Z334)-'Retirement Planning'!$I$54-'Retirement Planning'!$I$61)&gt;'Retirement Planning'!$J$58,(SUM(Z323:Z334)-'Retirement Planning'!$I$54-'Retirement Planning'!$I$61-'Retirement Planning'!$J$58)*'Retirement Planning'!$I$59+'Retirement Planning'!$K$58,IF((SUM(Z323:Z334)-'Retirement Planning'!$I$54-'Retirement Planning'!$I$61)&gt;'Retirement Planning'!$J$57,(SUM(Z323:Z334)-'Retirement Planning'!$I$54-'Retirement Planning'!$I$61-'Retirement Planning'!$J$57)*'Retirement Planning'!$I$58+'Retirement Planning'!$K$57,IF((SUM(Z323:Z334)-'Retirement Planning'!$I$54-'Retirement Planning'!$I$61)&gt;'Retirement Planning'!$J$56,(SUM(Z323:Z334)-'Retirement Planning'!$I$54-'Retirement Planning'!$I$61-'Retirement Planning'!$J$56)*'Retirement Planning'!$I$57+'Retirement Planning'!$K$56,(SUM(Z323:Z334)-'Retirement Planning'!$I$54-'Retirement Planning'!$I$61)*'Retirement Planning'!$I$56))))))/12,AA334)</f>
        <v>3602.7160148501066</v>
      </c>
      <c r="AB335" s="104">
        <f t="shared" ca="1" si="134"/>
        <v>0.25850977728616847</v>
      </c>
      <c r="AC335" s="7">
        <f>IF(B335&lt;65,'Retirement Planning'!$J$28,0)</f>
        <v>0</v>
      </c>
      <c r="AD335" s="7">
        <f>IF(B335&lt;65,'Retirement Planning'!$J$29/12,0)</f>
        <v>0</v>
      </c>
      <c r="AE335" s="22">
        <f>'Retirement Planning'!$J$31/12</f>
        <v>58.333333333333336</v>
      </c>
      <c r="AF335" s="22">
        <f>'Retirement Planning'!$J$32/12</f>
        <v>66.666666666666671</v>
      </c>
      <c r="AG335" s="7">
        <f>IF($B335&gt;64.9,'Retirement Planning'!$J$39/12,0)</f>
        <v>183.33333333333334</v>
      </c>
      <c r="AH335" s="7">
        <f>IF($B335&gt;64.9,'Retirement Planning'!$J$40/12,0)</f>
        <v>258.33333333333331</v>
      </c>
      <c r="AI335" s="7">
        <f>IF($B335&gt;64.9,'Retirement Planning'!$J$41/12,0)</f>
        <v>558.33333333333337</v>
      </c>
      <c r="AJ335" s="7">
        <f t="shared" ca="1" si="144"/>
        <v>316.66666666666663</v>
      </c>
      <c r="AK335" s="3" t="str">
        <f t="shared" ca="1" si="145"/>
        <v>N/A</v>
      </c>
      <c r="AL335" s="6" t="str">
        <f t="shared" ca="1" si="146"/>
        <v>N/A</v>
      </c>
      <c r="AM335" s="7">
        <f t="shared" ca="1" si="147"/>
        <v>-2.5011104298755527E-12</v>
      </c>
      <c r="AN335" s="7">
        <f t="shared" ca="1" si="148"/>
        <v>17870.418090897423</v>
      </c>
      <c r="AO335" s="7">
        <f t="shared" si="149"/>
        <v>1125</v>
      </c>
    </row>
    <row r="336" spans="1:41" x14ac:dyDescent="0.2">
      <c r="A336">
        <f t="shared" si="150"/>
        <v>50</v>
      </c>
      <c r="B336" s="5">
        <f t="shared" si="151"/>
        <v>83.5</v>
      </c>
      <c r="C336" s="56">
        <f t="shared" si="152"/>
        <v>56340</v>
      </c>
      <c r="D336" s="57">
        <f ca="1">IF(AND(B335&lt;59.5,OR(B336&gt;59.5,B336=59.5)),(D335-E335+J335-K335)*(1+'Retirement Planning'!$J$23/12),(D335-E335)*(1+'Retirement Planning'!$J$23/12))</f>
        <v>762373.65706421644</v>
      </c>
      <c r="E336" s="58">
        <f t="shared" ca="1" si="139"/>
        <v>1750.569896126075</v>
      </c>
      <c r="F336" s="57">
        <f ca="1">IF(AND(OR(B336&gt;59.5,B336=59.5),B335&lt;59.5),(F335-G335+L335-M335+N335-O335)*(1+'Retirement Planning'!$J$23/12),(F335-G335)*(1+'Retirement Planning'!$J$23/12))</f>
        <v>1323224.0044777433</v>
      </c>
      <c r="G336" s="58">
        <f ca="1">IF(AND($B$10&lt;55,B336&lt;59.5),'Retirement Planning'!$J$25,IF(OR(B336&gt;59.5,B336=59.5),MAX(0,MIN(F336,IF(D336&lt;2500,((Y336+AJ336+AA336))-X336,((Y336+AJ336+AA336)*'Retirement Planning'!$J$44)-X336))),0))</f>
        <v>12606.688653626914</v>
      </c>
      <c r="H336" s="255">
        <f ca="1">IF(MONTH(C336)=1,IF(B336&gt;69.5,F336/(INDEX('Retirement Planning'!D$1:D$264,(160+INT(B336))))/12,0),IF(F336=0,0,H335))</f>
        <v>12207.453007630293</v>
      </c>
      <c r="I336" s="262">
        <f t="shared" ca="1" si="140"/>
        <v>0</v>
      </c>
      <c r="J336" s="254">
        <f ca="1">IF(AND(B335&lt;59.5,OR(B336=59.5,B336&gt;59.5)),0,(J335-K335)*(1+'Retirement Planning'!$J$23/12))</f>
        <v>0</v>
      </c>
      <c r="K336" s="58">
        <f t="shared" ca="1" si="141"/>
        <v>0</v>
      </c>
      <c r="L336" s="57">
        <f>IF(AND(OR(B336&gt;59.5,B336=59.5),B335&lt;59.5),0,(L335-M335)*(1+'Retirement Planning'!$J$23/12))</f>
        <v>0</v>
      </c>
      <c r="M336" s="59">
        <f>IF(AND($B$10&lt;55,B336&lt;59.5),0,IF(B336&lt;59.5,MAX(0,MIN((($Y336+$AJ336+AA336)*'Retirement Planning'!$J$44)-$G336-$X336,L336)),0))</f>
        <v>0</v>
      </c>
      <c r="N336" s="57">
        <f ca="1">(N335-O335)*(1+'Retirement Planning'!$J$23/12)</f>
        <v>0</v>
      </c>
      <c r="O336" s="59">
        <f ca="1">IF(B336&gt;59.5,MAX(0,MIN((AA336+$Y336+$AJ336)*(IF(D336&lt;(MIN(E324:E335)+1),1,'Retirement Planning'!$J$44))-M336-$G336-$X336-(IF(D336&lt;(MIN(E324:E335)+1),D336,0)),N336)),0)</f>
        <v>0</v>
      </c>
      <c r="P336" s="57">
        <f t="shared" si="153"/>
        <v>0</v>
      </c>
      <c r="Q336" s="58">
        <f t="shared" si="154"/>
        <v>0</v>
      </c>
      <c r="R336" s="57">
        <f ca="1">(R335-S335-T335)*(1+'Retirement Planning'!$J$23/12)</f>
        <v>994113.51950439182</v>
      </c>
      <c r="S336" s="58">
        <f t="shared" ca="1" si="155"/>
        <v>808.33333333333337</v>
      </c>
      <c r="T336" s="273">
        <f t="shared" ca="1" si="142"/>
        <v>-9.0949470177292824E-13</v>
      </c>
      <c r="U336" s="57">
        <f ca="1">(U335-V335)*(1+'Retirement Planning'!$J$23/12)</f>
        <v>624602.12106262811</v>
      </c>
      <c r="V336" s="24">
        <f ca="1">IF(AND($B$10&lt;55,B336&lt;59.5),MIN(U336,MAX(0,(Y336+AA336+AJ336-G336)*'Retirement Planning'!$J$45)),IF(B336&lt;59.5,(MIN(U336,MAX(0,((Y336+AA336+AJ336)-G336-M336)*'Retirement Planning'!$J$45))),MIN(U336,MAX(0,(Y336+AA336+AJ336-G336-M336-K336-X336)*'Retirement Planning'!$J$45))))</f>
        <v>1491.2262078111014</v>
      </c>
      <c r="W336" s="7">
        <f t="shared" ca="1" si="143"/>
        <v>3704313.3021089798</v>
      </c>
      <c r="X336" s="7">
        <f>(IF(B336&gt;'Retirement Planning'!$J$34,IF('Retirement Planning'!$J$34=70,'Retirement Planning'!$J$37/12,IF('Retirement Planning'!$J$34=67,'Retirement Planning'!$J$36/12,'Retirement Planning'!$J$35/12)),0))*'Retirement Planning'!$J$38</f>
        <v>1213.6000000000001</v>
      </c>
      <c r="Y336" s="7">
        <f ca="1">'Retirement Planning'!$F$35*((1+'Retirement Planning'!$J$24)^(YEAR('Projected Retirement Drawdown'!C336)-YEAR(TODAY())))</f>
        <v>13142.702076047317</v>
      </c>
      <c r="Z336" s="7">
        <f ca="1">G336+M336+O336+0.85*X336+V336*'Retirement Planning'!$J$46+T336</f>
        <v>14458.423067923017</v>
      </c>
      <c r="AA336" s="7">
        <f ca="1">IF(MONTH(C336)=1,(((MIN(MAX(0,((SUM(Z324:Z335)-'Retirement Planning'!$I$53-'Retirement Planning'!$I$54)-'Retirement Planning'!$J$51)*'Retirement Planning'!$I$52))))+(MIN(MAX(0,((SUM(Z324:Z335)-'Retirement Planning'!$I$53-'Retirement Planning'!$I$54)-'Retirement Planning'!$J$50)*'Retirement Planning'!$I$51),('Retirement Planning'!$J$51-'Retirement Planning'!$J$50)*'Retirement Planning'!$I$51))+(MIN(MAX(0,((SUM(Z324:Z335)-'Retirement Planning'!$I$53-'Retirement Planning'!$I$54)-'Retirement Planning'!$J$49)*'Retirement Planning'!$I$50),('Retirement Planning'!$J$50-'Retirement Planning'!$J$49)*'Retirement Planning'!$I$50)+MIN(MAX(0,((SUM(Z324:Z335)-'Retirement Planning'!$I$53-'Retirement Planning'!$I$54)-'Retirement Planning'!$J$48)*'Retirement Planning'!$I$49),('Retirement Planning'!$J$49-'Retirement Planning'!$J$48)*'Retirement Planning'!$I$49)+MIN(((SUM(Z324:Z335)-'Retirement Planning'!$I$53-'Retirement Planning'!$I$54))*'Retirement Planning'!$I$48,('Retirement Planning'!$J$48)*'Retirement Planning'!$I$48))+(IF((SUM(Z324:Z335)-'Retirement Planning'!$I$54-'Retirement Planning'!$I$61)&gt;'Retirement Planning'!$J$59,(SUM(Z324:Z335)-'Retirement Planning'!$I$54-'Retirement Planning'!$I$61-'Retirement Planning'!$J$59)*'Retirement Planning'!$I$60+'Retirement Planning'!$K$59,IF((SUM(Z324:Z335)-'Retirement Planning'!$I$54-'Retirement Planning'!$I$61)&gt;'Retirement Planning'!$J$58,(SUM(Z324:Z335)-'Retirement Planning'!$I$54-'Retirement Planning'!$I$61-'Retirement Planning'!$J$58)*'Retirement Planning'!$I$59+'Retirement Planning'!$K$58,IF((SUM(Z324:Z335)-'Retirement Planning'!$I$54-'Retirement Planning'!$I$61)&gt;'Retirement Planning'!$J$57,(SUM(Z324:Z335)-'Retirement Planning'!$I$54-'Retirement Planning'!$I$61-'Retirement Planning'!$J$57)*'Retirement Planning'!$I$58+'Retirement Planning'!$K$57,IF((SUM(Z324:Z335)-'Retirement Planning'!$I$54-'Retirement Planning'!$I$61)&gt;'Retirement Planning'!$J$56,(SUM(Z324:Z335)-'Retirement Planning'!$I$54-'Retirement Planning'!$I$61-'Retirement Planning'!$J$56)*'Retirement Planning'!$I$57+'Retirement Planning'!$K$56,(SUM(Z324:Z335)-'Retirement Planning'!$I$54-'Retirement Planning'!$I$61)*'Retirement Planning'!$I$56))))))/12,AA335)</f>
        <v>3602.7160148501066</v>
      </c>
      <c r="AB336" s="104">
        <f t="shared" ca="1" si="134"/>
        <v>0.25850977728616847</v>
      </c>
      <c r="AC336" s="7">
        <f>IF(B336&lt;65,'Retirement Planning'!$J$28,0)</f>
        <v>0</v>
      </c>
      <c r="AD336" s="7">
        <f>IF(B336&lt;65,'Retirement Planning'!$J$29/12,0)</f>
        <v>0</v>
      </c>
      <c r="AE336" s="22">
        <f>'Retirement Planning'!$J$31/12</f>
        <v>58.333333333333336</v>
      </c>
      <c r="AF336" s="22">
        <f>'Retirement Planning'!$J$32/12</f>
        <v>66.666666666666671</v>
      </c>
      <c r="AG336" s="7">
        <f>IF($B336&gt;64.9,'Retirement Planning'!$J$39/12,0)</f>
        <v>183.33333333333334</v>
      </c>
      <c r="AH336" s="7">
        <f>IF($B336&gt;64.9,'Retirement Planning'!$J$40/12,0)</f>
        <v>258.33333333333331</v>
      </c>
      <c r="AI336" s="7">
        <f>IF($B336&gt;64.9,'Retirement Planning'!$J$41/12,0)</f>
        <v>558.33333333333337</v>
      </c>
      <c r="AJ336" s="7">
        <f t="shared" ca="1" si="144"/>
        <v>316.66666666666663</v>
      </c>
      <c r="AK336" s="3" t="str">
        <f t="shared" ca="1" si="145"/>
        <v>N/A</v>
      </c>
      <c r="AL336" s="6" t="str">
        <f t="shared" ca="1" si="146"/>
        <v>N/A</v>
      </c>
      <c r="AM336" s="7">
        <f t="shared" ca="1" si="147"/>
        <v>-2.5011104298755527E-12</v>
      </c>
      <c r="AN336" s="7">
        <f t="shared" ca="1" si="148"/>
        <v>17870.418090897423</v>
      </c>
      <c r="AO336" s="7">
        <f t="shared" si="149"/>
        <v>1125</v>
      </c>
    </row>
    <row r="337" spans="1:41" x14ac:dyDescent="0.2">
      <c r="A337">
        <f t="shared" si="150"/>
        <v>50</v>
      </c>
      <c r="B337" s="5">
        <f t="shared" si="151"/>
        <v>83.5</v>
      </c>
      <c r="C337" s="56">
        <f t="shared" si="152"/>
        <v>56370</v>
      </c>
      <c r="D337" s="57">
        <f ca="1">IF(AND(B336&lt;59.5,OR(B337&gt;59.5,B337=59.5)),(D336-E336+J336-K336)*(1+'Retirement Planning'!$J$23/12),(D336-E336)*(1+'Retirement Planning'!$J$23/12))</f>
        <v>766010.83403553104</v>
      </c>
      <c r="E337" s="58">
        <f t="shared" ca="1" si="139"/>
        <v>1750.569896126075</v>
      </c>
      <c r="F337" s="57">
        <f ca="1">IF(AND(OR(B337&gt;59.5,B337=59.5),B336&lt;59.5),(F336-G336+L336-M336+N336-O336)*(1+'Retirement Planning'!$J$23/12),(F336-G336)*(1+'Retirement Planning'!$J$23/12))</f>
        <v>1319900.8551445371</v>
      </c>
      <c r="G337" s="58">
        <f ca="1">IF(AND($B$10&lt;55,B337&lt;59.5),'Retirement Planning'!$J$25,IF(OR(B337&gt;59.5,B337=59.5),MAX(0,MIN(F337,IF(D337&lt;2500,((Y337+AJ337+AA337))-X337,((Y337+AJ337+AA337)*'Retirement Planning'!$J$44)-X337))),0))</f>
        <v>12606.688653626914</v>
      </c>
      <c r="H337" s="255">
        <f ca="1">IF(MONTH(C337)=1,IF(B337&gt;69.5,F337/(INDEX('Retirement Planning'!D$1:D$264,(160+INT(B337))))/12,0),IF(F337=0,0,H336))</f>
        <v>12207.453007630293</v>
      </c>
      <c r="I337" s="262">
        <f t="shared" ca="1" si="140"/>
        <v>0</v>
      </c>
      <c r="J337" s="254">
        <f ca="1">IF(AND(B336&lt;59.5,OR(B337=59.5,B337&gt;59.5)),0,(J336-K336)*(1+'Retirement Planning'!$J$23/12))</f>
        <v>0</v>
      </c>
      <c r="K337" s="58">
        <f t="shared" ca="1" si="141"/>
        <v>0</v>
      </c>
      <c r="L337" s="57">
        <f>IF(AND(OR(B337&gt;59.5,B337=59.5),B336&lt;59.5),0,(L336-M336)*(1+'Retirement Planning'!$J$23/12))</f>
        <v>0</v>
      </c>
      <c r="M337" s="59">
        <f>IF(AND($B$10&lt;55,B337&lt;59.5),0,IF(B337&lt;59.5,MAX(0,MIN((($Y337+$AJ337+AA337)*'Retirement Planning'!$J$44)-$G337-$X337,L337)),0))</f>
        <v>0</v>
      </c>
      <c r="N337" s="57">
        <f ca="1">(N336-O336)*(1+'Retirement Planning'!$J$23/12)</f>
        <v>0</v>
      </c>
      <c r="O337" s="59">
        <f ca="1">IF(B337&gt;59.5,MAX(0,MIN((AA337+$Y337+$AJ337)*(IF(D337&lt;(MIN(E325:E336)+1),1,'Retirement Planning'!$J$44))-M337-$G337-$X337-(IF(D337&lt;(MIN(E325:E336)+1),D337,0)),N337)),0)</f>
        <v>0</v>
      </c>
      <c r="P337" s="57">
        <f t="shared" si="153"/>
        <v>0</v>
      </c>
      <c r="Q337" s="58">
        <f t="shared" si="154"/>
        <v>0</v>
      </c>
      <c r="R337" s="57">
        <f ca="1">(R336-S336-T336)*(1+'Retirement Planning'!$J$23/12)</f>
        <v>1000341.0979064368</v>
      </c>
      <c r="S337" s="58">
        <f t="shared" ca="1" si="155"/>
        <v>808.33333333333337</v>
      </c>
      <c r="T337" s="273">
        <f t="shared" ca="1" si="142"/>
        <v>-9.0949470177292824E-13</v>
      </c>
      <c r="U337" s="57">
        <f ca="1">(U336-V336)*(1+'Retirement Planning'!$J$23/12)</f>
        <v>627524.59702670528</v>
      </c>
      <c r="V337" s="24">
        <f ca="1">IF(AND($B$10&lt;55,B337&lt;59.5),MIN(U337,MAX(0,(Y337+AA337+AJ337-G337)*'Retirement Planning'!$J$45)),IF(B337&lt;59.5,(MIN(U337,MAX(0,((Y337+AA337+AJ337)-G337-M337)*'Retirement Planning'!$J$45))),MIN(U337,MAX(0,(Y337+AA337+AJ337-G337-M337-K337-X337)*'Retirement Planning'!$J$45))))</f>
        <v>1491.2262078111014</v>
      </c>
      <c r="W337" s="7">
        <f t="shared" ca="1" si="143"/>
        <v>3713777.3841132103</v>
      </c>
      <c r="X337" s="7">
        <f>(IF(B337&gt;'Retirement Planning'!$J$34,IF('Retirement Planning'!$J$34=70,'Retirement Planning'!$J$37/12,IF('Retirement Planning'!$J$34=67,'Retirement Planning'!$J$36/12,'Retirement Planning'!$J$35/12)),0))*'Retirement Planning'!$J$38</f>
        <v>1213.6000000000001</v>
      </c>
      <c r="Y337" s="7">
        <f ca="1">'Retirement Planning'!$F$35*((1+'Retirement Planning'!$J$24)^(YEAR('Projected Retirement Drawdown'!C337)-YEAR(TODAY())))</f>
        <v>13142.702076047317</v>
      </c>
      <c r="Z337" s="7">
        <f ca="1">G337+M337+O337+0.85*X337+V337*'Retirement Planning'!$J$46+T337</f>
        <v>14458.423067923017</v>
      </c>
      <c r="AA337" s="7">
        <f ca="1">IF(MONTH(C337)=1,(((MIN(MAX(0,((SUM(Z325:Z336)-'Retirement Planning'!$I$53-'Retirement Planning'!$I$54)-'Retirement Planning'!$J$51)*'Retirement Planning'!$I$52))))+(MIN(MAX(0,((SUM(Z325:Z336)-'Retirement Planning'!$I$53-'Retirement Planning'!$I$54)-'Retirement Planning'!$J$50)*'Retirement Planning'!$I$51),('Retirement Planning'!$J$51-'Retirement Planning'!$J$50)*'Retirement Planning'!$I$51))+(MIN(MAX(0,((SUM(Z325:Z336)-'Retirement Planning'!$I$53-'Retirement Planning'!$I$54)-'Retirement Planning'!$J$49)*'Retirement Planning'!$I$50),('Retirement Planning'!$J$50-'Retirement Planning'!$J$49)*'Retirement Planning'!$I$50)+MIN(MAX(0,((SUM(Z325:Z336)-'Retirement Planning'!$I$53-'Retirement Planning'!$I$54)-'Retirement Planning'!$J$48)*'Retirement Planning'!$I$49),('Retirement Planning'!$J$49-'Retirement Planning'!$J$48)*'Retirement Planning'!$I$49)+MIN(((SUM(Z325:Z336)-'Retirement Planning'!$I$53-'Retirement Planning'!$I$54))*'Retirement Planning'!$I$48,('Retirement Planning'!$J$48)*'Retirement Planning'!$I$48))+(IF((SUM(Z325:Z336)-'Retirement Planning'!$I$54-'Retirement Planning'!$I$61)&gt;'Retirement Planning'!$J$59,(SUM(Z325:Z336)-'Retirement Planning'!$I$54-'Retirement Planning'!$I$61-'Retirement Planning'!$J$59)*'Retirement Planning'!$I$60+'Retirement Planning'!$K$59,IF((SUM(Z325:Z336)-'Retirement Planning'!$I$54-'Retirement Planning'!$I$61)&gt;'Retirement Planning'!$J$58,(SUM(Z325:Z336)-'Retirement Planning'!$I$54-'Retirement Planning'!$I$61-'Retirement Planning'!$J$58)*'Retirement Planning'!$I$59+'Retirement Planning'!$K$58,IF((SUM(Z325:Z336)-'Retirement Planning'!$I$54-'Retirement Planning'!$I$61)&gt;'Retirement Planning'!$J$57,(SUM(Z325:Z336)-'Retirement Planning'!$I$54-'Retirement Planning'!$I$61-'Retirement Planning'!$J$57)*'Retirement Planning'!$I$58+'Retirement Planning'!$K$57,IF((SUM(Z325:Z336)-'Retirement Planning'!$I$54-'Retirement Planning'!$I$61)&gt;'Retirement Planning'!$J$56,(SUM(Z325:Z336)-'Retirement Planning'!$I$54-'Retirement Planning'!$I$61-'Retirement Planning'!$J$56)*'Retirement Planning'!$I$57+'Retirement Planning'!$K$56,(SUM(Z325:Z336)-'Retirement Planning'!$I$54-'Retirement Planning'!$I$61)*'Retirement Planning'!$I$56))))))/12,AA336)</f>
        <v>3602.7160148501066</v>
      </c>
      <c r="AB337" s="104">
        <f t="shared" ca="1" si="134"/>
        <v>0.25850977728616847</v>
      </c>
      <c r="AC337" s="7">
        <f>IF(B337&lt;65,'Retirement Planning'!$J$28,0)</f>
        <v>0</v>
      </c>
      <c r="AD337" s="7">
        <f>IF(B337&lt;65,'Retirement Planning'!$J$29/12,0)</f>
        <v>0</v>
      </c>
      <c r="AE337" s="22">
        <f>'Retirement Planning'!$J$31/12</f>
        <v>58.333333333333336</v>
      </c>
      <c r="AF337" s="22">
        <f>'Retirement Planning'!$J$32/12</f>
        <v>66.666666666666671</v>
      </c>
      <c r="AG337" s="7">
        <f>IF($B337&gt;64.9,'Retirement Planning'!$J$39/12,0)</f>
        <v>183.33333333333334</v>
      </c>
      <c r="AH337" s="7">
        <f>IF($B337&gt;64.9,'Retirement Planning'!$J$40/12,0)</f>
        <v>258.33333333333331</v>
      </c>
      <c r="AI337" s="7">
        <f>IF($B337&gt;64.9,'Retirement Planning'!$J$41/12,0)</f>
        <v>558.33333333333337</v>
      </c>
      <c r="AJ337" s="7">
        <f t="shared" ca="1" si="144"/>
        <v>316.66666666666663</v>
      </c>
      <c r="AK337" s="3" t="str">
        <f t="shared" ca="1" si="145"/>
        <v>N/A</v>
      </c>
      <c r="AL337" s="6" t="str">
        <f t="shared" ca="1" si="146"/>
        <v>N/A</v>
      </c>
      <c r="AM337" s="7">
        <f t="shared" ca="1" si="147"/>
        <v>-2.5011104298755527E-12</v>
      </c>
      <c r="AN337" s="7">
        <f t="shared" ca="1" si="148"/>
        <v>17870.418090897423</v>
      </c>
      <c r="AO337" s="7">
        <f t="shared" si="149"/>
        <v>1125</v>
      </c>
    </row>
    <row r="338" spans="1:41" x14ac:dyDescent="0.2">
      <c r="A338">
        <f t="shared" si="150"/>
        <v>50</v>
      </c>
      <c r="B338" s="5">
        <f t="shared" si="151"/>
        <v>83.6</v>
      </c>
      <c r="C338" s="56">
        <f t="shared" si="152"/>
        <v>56401</v>
      </c>
      <c r="D338" s="57">
        <f ca="1">IF(AND(B337&lt;59.5,OR(B338&gt;59.5,B338=59.5)),(D337-E337+J337-K337)*(1+'Retirement Planning'!$J$23/12),(D337-E337)*(1+'Retirement Planning'!$J$23/12))</f>
        <v>769673.77434372576</v>
      </c>
      <c r="E338" s="58">
        <f t="shared" ca="1" si="139"/>
        <v>1750.569896126075</v>
      </c>
      <c r="F338" s="57">
        <f ca="1">IF(AND(OR(B338&gt;59.5,B338=59.5),B337&lt;59.5),(F337-G337+L337-M337+N337-O337)*(1+'Retirement Planning'!$J$23/12),(F337-G337)*(1+'Retirement Planning'!$J$23/12))</f>
        <v>1316554.1668368874</v>
      </c>
      <c r="G338" s="58">
        <f ca="1">IF(AND($B$10&lt;55,B338&lt;59.5),'Retirement Planning'!$J$25,IF(OR(B338&gt;59.5,B338=59.5),MAX(0,MIN(F338,IF(D338&lt;2500,((Y338+AJ338+AA338))-X338,((Y338+AJ338+AA338)*'Retirement Planning'!$J$44)-X338))),0))</f>
        <v>12606.688653626914</v>
      </c>
      <c r="H338" s="255">
        <f ca="1">IF(MONTH(C338)=1,IF(B338&gt;69.5,F338/(INDEX('Retirement Planning'!D$1:D$264,(160+INT(B338))))/12,0),IF(F338=0,0,H337))</f>
        <v>12207.453007630293</v>
      </c>
      <c r="I338" s="262">
        <f t="shared" ca="1" si="140"/>
        <v>0</v>
      </c>
      <c r="J338" s="254">
        <f ca="1">IF(AND(B337&lt;59.5,OR(B338=59.5,B338&gt;59.5)),0,(J337-K337)*(1+'Retirement Planning'!$J$23/12))</f>
        <v>0</v>
      </c>
      <c r="K338" s="58">
        <f t="shared" ca="1" si="141"/>
        <v>0</v>
      </c>
      <c r="L338" s="57">
        <f>IF(AND(OR(B338&gt;59.5,B338=59.5),B337&lt;59.5),0,(L337-M337)*(1+'Retirement Planning'!$J$23/12))</f>
        <v>0</v>
      </c>
      <c r="M338" s="59">
        <f>IF(AND($B$10&lt;55,B338&lt;59.5),0,IF(B338&lt;59.5,MAX(0,MIN((($Y338+$AJ338+AA338)*'Retirement Planning'!$J$44)-$G338-$X338,L338)),0))</f>
        <v>0</v>
      </c>
      <c r="N338" s="57">
        <f ca="1">(N337-O337)*(1+'Retirement Planning'!$J$23/12)</f>
        <v>0</v>
      </c>
      <c r="O338" s="59">
        <f ca="1">IF(B338&gt;59.5,MAX(0,MIN((AA338+$Y338+$AJ338)*(IF(D338&lt;(MIN(E326:E337)+1),1,'Retirement Planning'!$J$44))-M338-$G338-$X338-(IF(D338&lt;(MIN(E326:E337)+1),D338,0)),N338)),0)</f>
        <v>0</v>
      </c>
      <c r="P338" s="57">
        <f t="shared" si="153"/>
        <v>0</v>
      </c>
      <c r="Q338" s="58">
        <f t="shared" si="154"/>
        <v>0</v>
      </c>
      <c r="R338" s="57">
        <f ca="1">(R337-S337-T337)*(1+'Retirement Planning'!$J$23/12)</f>
        <v>1006612.7883221629</v>
      </c>
      <c r="S338" s="58">
        <f t="shared" ca="1" si="155"/>
        <v>808.33333333333337</v>
      </c>
      <c r="T338" s="273">
        <f t="shared" ca="1" si="142"/>
        <v>-9.0949470177292824E-13</v>
      </c>
      <c r="U338" s="57">
        <f ca="1">(U337-V337)*(1+'Retirement Planning'!$J$23/12)</f>
        <v>630467.77386219462</v>
      </c>
      <c r="V338" s="24">
        <f ca="1">IF(AND($B$10&lt;55,B338&lt;59.5),MIN(U338,MAX(0,(Y338+AA338+AJ338-G338)*'Retirement Planning'!$J$45)),IF(B338&lt;59.5,(MIN(U338,MAX(0,((Y338+AA338+AJ338)-G338-M338)*'Retirement Planning'!$J$45))),MIN(U338,MAX(0,(Y338+AA338+AJ338-G338-M338-K338-X338)*'Retirement Planning'!$J$45))))</f>
        <v>1491.2262078111014</v>
      </c>
      <c r="W338" s="7">
        <f t="shared" ca="1" si="143"/>
        <v>3723308.5033649709</v>
      </c>
      <c r="X338" s="7">
        <f>(IF(B338&gt;'Retirement Planning'!$J$34,IF('Retirement Planning'!$J$34=70,'Retirement Planning'!$J$37/12,IF('Retirement Planning'!$J$34=67,'Retirement Planning'!$J$36/12,'Retirement Planning'!$J$35/12)),0))*'Retirement Planning'!$J$38</f>
        <v>1213.6000000000001</v>
      </c>
      <c r="Y338" s="7">
        <f ca="1">'Retirement Planning'!$F$35*((1+'Retirement Planning'!$J$24)^(YEAR('Projected Retirement Drawdown'!C338)-YEAR(TODAY())))</f>
        <v>13142.702076047317</v>
      </c>
      <c r="Z338" s="7">
        <f ca="1">G338+M338+O338+0.85*X338+V338*'Retirement Planning'!$J$46+T338</f>
        <v>14458.423067923017</v>
      </c>
      <c r="AA338" s="7">
        <f ca="1">IF(MONTH(C338)=1,(((MIN(MAX(0,((SUM(Z326:Z337)-'Retirement Planning'!$I$53-'Retirement Planning'!$I$54)-'Retirement Planning'!$J$51)*'Retirement Planning'!$I$52))))+(MIN(MAX(0,((SUM(Z326:Z337)-'Retirement Planning'!$I$53-'Retirement Planning'!$I$54)-'Retirement Planning'!$J$50)*'Retirement Planning'!$I$51),('Retirement Planning'!$J$51-'Retirement Planning'!$J$50)*'Retirement Planning'!$I$51))+(MIN(MAX(0,((SUM(Z326:Z337)-'Retirement Planning'!$I$53-'Retirement Planning'!$I$54)-'Retirement Planning'!$J$49)*'Retirement Planning'!$I$50),('Retirement Planning'!$J$50-'Retirement Planning'!$J$49)*'Retirement Planning'!$I$50)+MIN(MAX(0,((SUM(Z326:Z337)-'Retirement Planning'!$I$53-'Retirement Planning'!$I$54)-'Retirement Planning'!$J$48)*'Retirement Planning'!$I$49),('Retirement Planning'!$J$49-'Retirement Planning'!$J$48)*'Retirement Planning'!$I$49)+MIN(((SUM(Z326:Z337)-'Retirement Planning'!$I$53-'Retirement Planning'!$I$54))*'Retirement Planning'!$I$48,('Retirement Planning'!$J$48)*'Retirement Planning'!$I$48))+(IF((SUM(Z326:Z337)-'Retirement Planning'!$I$54-'Retirement Planning'!$I$61)&gt;'Retirement Planning'!$J$59,(SUM(Z326:Z337)-'Retirement Planning'!$I$54-'Retirement Planning'!$I$61-'Retirement Planning'!$J$59)*'Retirement Planning'!$I$60+'Retirement Planning'!$K$59,IF((SUM(Z326:Z337)-'Retirement Planning'!$I$54-'Retirement Planning'!$I$61)&gt;'Retirement Planning'!$J$58,(SUM(Z326:Z337)-'Retirement Planning'!$I$54-'Retirement Planning'!$I$61-'Retirement Planning'!$J$58)*'Retirement Planning'!$I$59+'Retirement Planning'!$K$58,IF((SUM(Z326:Z337)-'Retirement Planning'!$I$54-'Retirement Planning'!$I$61)&gt;'Retirement Planning'!$J$57,(SUM(Z326:Z337)-'Retirement Planning'!$I$54-'Retirement Planning'!$I$61-'Retirement Planning'!$J$57)*'Retirement Planning'!$I$58+'Retirement Planning'!$K$57,IF((SUM(Z326:Z337)-'Retirement Planning'!$I$54-'Retirement Planning'!$I$61)&gt;'Retirement Planning'!$J$56,(SUM(Z326:Z337)-'Retirement Planning'!$I$54-'Retirement Planning'!$I$61-'Retirement Planning'!$J$56)*'Retirement Planning'!$I$57+'Retirement Planning'!$K$56,(SUM(Z326:Z337)-'Retirement Planning'!$I$54-'Retirement Planning'!$I$61)*'Retirement Planning'!$I$56))))))/12,AA337)</f>
        <v>3602.7160148501066</v>
      </c>
      <c r="AB338" s="104">
        <f t="shared" ca="1" si="134"/>
        <v>0.25850977728616847</v>
      </c>
      <c r="AC338" s="7">
        <f>IF(B338&lt;65,'Retirement Planning'!$J$28,0)</f>
        <v>0</v>
      </c>
      <c r="AD338" s="7">
        <f>IF(B338&lt;65,'Retirement Planning'!$J$29/12,0)</f>
        <v>0</v>
      </c>
      <c r="AE338" s="22">
        <f>'Retirement Planning'!$J$31/12</f>
        <v>58.333333333333336</v>
      </c>
      <c r="AF338" s="22">
        <f>'Retirement Planning'!$J$32/12</f>
        <v>66.666666666666671</v>
      </c>
      <c r="AG338" s="7">
        <f>IF($B338&gt;64.9,'Retirement Planning'!$J$39/12,0)</f>
        <v>183.33333333333334</v>
      </c>
      <c r="AH338" s="7">
        <f>IF($B338&gt;64.9,'Retirement Planning'!$J$40/12,0)</f>
        <v>258.33333333333331</v>
      </c>
      <c r="AI338" s="7">
        <f>IF($B338&gt;64.9,'Retirement Planning'!$J$41/12,0)</f>
        <v>558.33333333333337</v>
      </c>
      <c r="AJ338" s="7">
        <f t="shared" ca="1" si="144"/>
        <v>316.66666666666663</v>
      </c>
      <c r="AK338" s="3" t="str">
        <f t="shared" ca="1" si="145"/>
        <v>N/A</v>
      </c>
      <c r="AL338" s="6" t="str">
        <f t="shared" ca="1" si="146"/>
        <v>N/A</v>
      </c>
      <c r="AM338" s="7">
        <f t="shared" ca="1" si="147"/>
        <v>-2.5011104298755527E-12</v>
      </c>
      <c r="AN338" s="7">
        <f t="shared" ca="1" si="148"/>
        <v>17870.418090897423</v>
      </c>
      <c r="AO338" s="7">
        <f t="shared" si="149"/>
        <v>1125</v>
      </c>
    </row>
    <row r="339" spans="1:41" x14ac:dyDescent="0.2">
      <c r="A339">
        <f t="shared" si="150"/>
        <v>50</v>
      </c>
      <c r="B339" s="5">
        <f t="shared" si="151"/>
        <v>83.7</v>
      </c>
      <c r="C339" s="56">
        <f t="shared" si="152"/>
        <v>56431</v>
      </c>
      <c r="D339" s="57">
        <f ca="1">IF(AND(B338&lt;59.5,OR(B339&gt;59.5,B339=59.5)),(D338-E338+J338-K338)*(1+'Retirement Planning'!$J$23/12),(D338-E338)*(1+'Retirement Planning'!$J$23/12))</f>
        <v>773362.66047910356</v>
      </c>
      <c r="E339" s="58">
        <f t="shared" ca="1" si="139"/>
        <v>1750.569896126075</v>
      </c>
      <c r="F339" s="57">
        <f ca="1">IF(AND(OR(B339&gt;59.5,B339=59.5),B338&lt;59.5),(F338-G338+L338-M338+N338-O338)*(1+'Retirement Planning'!$J$23/12),(F338-G338)*(1+'Retirement Planning'!$J$23/12))</f>
        <v>1313183.7728203919</v>
      </c>
      <c r="G339" s="58">
        <f ca="1">IF(AND($B$10&lt;55,B339&lt;59.5),'Retirement Planning'!$J$25,IF(OR(B339&gt;59.5,B339=59.5),MAX(0,MIN(F339,IF(D339&lt;2500,((Y339+AJ339+AA339))-X339,((Y339+AJ339+AA339)*'Retirement Planning'!$J$44)-X339))),0))</f>
        <v>12606.688653626914</v>
      </c>
      <c r="H339" s="255">
        <f ca="1">IF(MONTH(C339)=1,IF(B339&gt;69.5,F339/(INDEX('Retirement Planning'!D$1:D$264,(160+INT(B339))))/12,0),IF(F339=0,0,H338))</f>
        <v>12207.453007630293</v>
      </c>
      <c r="I339" s="262">
        <f t="shared" ca="1" si="140"/>
        <v>0</v>
      </c>
      <c r="J339" s="254">
        <f ca="1">IF(AND(B338&lt;59.5,OR(B339=59.5,B339&gt;59.5)),0,(J338-K338)*(1+'Retirement Planning'!$J$23/12))</f>
        <v>0</v>
      </c>
      <c r="K339" s="58">
        <f t="shared" ca="1" si="141"/>
        <v>0</v>
      </c>
      <c r="L339" s="57">
        <f>IF(AND(OR(B339&gt;59.5,B339=59.5),B338&lt;59.5),0,(L338-M338)*(1+'Retirement Planning'!$J$23/12))</f>
        <v>0</v>
      </c>
      <c r="M339" s="59">
        <f>IF(AND($B$10&lt;55,B339&lt;59.5),0,IF(B339&lt;59.5,MAX(0,MIN((($Y339+$AJ339+AA339)*'Retirement Planning'!$J$44)-$G339-$X339,L339)),0))</f>
        <v>0</v>
      </c>
      <c r="N339" s="57">
        <f ca="1">(N338-O338)*(1+'Retirement Planning'!$J$23/12)</f>
        <v>0</v>
      </c>
      <c r="O339" s="59">
        <f ca="1">IF(B339&gt;59.5,MAX(0,MIN((AA339+$Y339+$AJ339)*(IF(D339&lt;(MIN(E327:E338)+1),1,'Retirement Planning'!$J$44))-M339-$G339-$X339-(IF(D339&lt;(MIN(E327:E338)+1),D339,0)),N339)),0)</f>
        <v>0</v>
      </c>
      <c r="P339" s="57">
        <f t="shared" si="153"/>
        <v>0</v>
      </c>
      <c r="Q339" s="58">
        <f t="shared" si="154"/>
        <v>0</v>
      </c>
      <c r="R339" s="57">
        <f ca="1">(R338-S338-T338)*(1+'Retirement Planning'!$J$23/12)</f>
        <v>1012928.9032116671</v>
      </c>
      <c r="S339" s="58">
        <f t="shared" ca="1" si="155"/>
        <v>808.33333333333337</v>
      </c>
      <c r="T339" s="273">
        <f t="shared" ca="1" si="142"/>
        <v>-9.0949470177292824E-13</v>
      </c>
      <c r="U339" s="57">
        <f ca="1">(U338-V338)*(1+'Retirement Planning'!$J$23/12)</f>
        <v>633431.79820026865</v>
      </c>
      <c r="V339" s="24">
        <f ca="1">IF(AND($B$10&lt;55,B339&lt;59.5),MIN(U339,MAX(0,(Y339+AA339+AJ339-G339)*'Retirement Planning'!$J$45)),IF(B339&lt;59.5,(MIN(U339,MAX(0,((Y339+AA339+AJ339)-G339-M339)*'Retirement Planning'!$J$45))),MIN(U339,MAX(0,(Y339+AA339+AJ339-G339-M339-K339-X339)*'Retirement Planning'!$J$45))))</f>
        <v>1491.2262078111014</v>
      </c>
      <c r="W339" s="7">
        <f t="shared" ca="1" si="143"/>
        <v>3732907.1347114313</v>
      </c>
      <c r="X339" s="7">
        <f>(IF(B339&gt;'Retirement Planning'!$J$34,IF('Retirement Planning'!$J$34=70,'Retirement Planning'!$J$37/12,IF('Retirement Planning'!$J$34=67,'Retirement Planning'!$J$36/12,'Retirement Planning'!$J$35/12)),0))*'Retirement Planning'!$J$38</f>
        <v>1213.6000000000001</v>
      </c>
      <c r="Y339" s="7">
        <f ca="1">'Retirement Planning'!$F$35*((1+'Retirement Planning'!$J$24)^(YEAR('Projected Retirement Drawdown'!C339)-YEAR(TODAY())))</f>
        <v>13142.702076047317</v>
      </c>
      <c r="Z339" s="7">
        <f ca="1">G339+M339+O339+0.85*X339+V339*'Retirement Planning'!$J$46+T339</f>
        <v>14458.423067923017</v>
      </c>
      <c r="AA339" s="7">
        <f ca="1">IF(MONTH(C339)=1,(((MIN(MAX(0,((SUM(Z327:Z338)-'Retirement Planning'!$I$53-'Retirement Planning'!$I$54)-'Retirement Planning'!$J$51)*'Retirement Planning'!$I$52))))+(MIN(MAX(0,((SUM(Z327:Z338)-'Retirement Planning'!$I$53-'Retirement Planning'!$I$54)-'Retirement Planning'!$J$50)*'Retirement Planning'!$I$51),('Retirement Planning'!$J$51-'Retirement Planning'!$J$50)*'Retirement Planning'!$I$51))+(MIN(MAX(0,((SUM(Z327:Z338)-'Retirement Planning'!$I$53-'Retirement Planning'!$I$54)-'Retirement Planning'!$J$49)*'Retirement Planning'!$I$50),('Retirement Planning'!$J$50-'Retirement Planning'!$J$49)*'Retirement Planning'!$I$50)+MIN(MAX(0,((SUM(Z327:Z338)-'Retirement Planning'!$I$53-'Retirement Planning'!$I$54)-'Retirement Planning'!$J$48)*'Retirement Planning'!$I$49),('Retirement Planning'!$J$49-'Retirement Planning'!$J$48)*'Retirement Planning'!$I$49)+MIN(((SUM(Z327:Z338)-'Retirement Planning'!$I$53-'Retirement Planning'!$I$54))*'Retirement Planning'!$I$48,('Retirement Planning'!$J$48)*'Retirement Planning'!$I$48))+(IF((SUM(Z327:Z338)-'Retirement Planning'!$I$54-'Retirement Planning'!$I$61)&gt;'Retirement Planning'!$J$59,(SUM(Z327:Z338)-'Retirement Planning'!$I$54-'Retirement Planning'!$I$61-'Retirement Planning'!$J$59)*'Retirement Planning'!$I$60+'Retirement Planning'!$K$59,IF((SUM(Z327:Z338)-'Retirement Planning'!$I$54-'Retirement Planning'!$I$61)&gt;'Retirement Planning'!$J$58,(SUM(Z327:Z338)-'Retirement Planning'!$I$54-'Retirement Planning'!$I$61-'Retirement Planning'!$J$58)*'Retirement Planning'!$I$59+'Retirement Planning'!$K$58,IF((SUM(Z327:Z338)-'Retirement Planning'!$I$54-'Retirement Planning'!$I$61)&gt;'Retirement Planning'!$J$57,(SUM(Z327:Z338)-'Retirement Planning'!$I$54-'Retirement Planning'!$I$61-'Retirement Planning'!$J$57)*'Retirement Planning'!$I$58+'Retirement Planning'!$K$57,IF((SUM(Z327:Z338)-'Retirement Planning'!$I$54-'Retirement Planning'!$I$61)&gt;'Retirement Planning'!$J$56,(SUM(Z327:Z338)-'Retirement Planning'!$I$54-'Retirement Planning'!$I$61-'Retirement Planning'!$J$56)*'Retirement Planning'!$I$57+'Retirement Planning'!$K$56,(SUM(Z327:Z338)-'Retirement Planning'!$I$54-'Retirement Planning'!$I$61)*'Retirement Planning'!$I$56))))))/12,AA338)</f>
        <v>3602.7160148501066</v>
      </c>
      <c r="AB339" s="104">
        <f t="shared" ca="1" si="134"/>
        <v>0.25850977728616847</v>
      </c>
      <c r="AC339" s="7">
        <f>IF(B339&lt;65,'Retirement Planning'!$J$28,0)</f>
        <v>0</v>
      </c>
      <c r="AD339" s="7">
        <f>IF(B339&lt;65,'Retirement Planning'!$J$29/12,0)</f>
        <v>0</v>
      </c>
      <c r="AE339" s="22">
        <f>'Retirement Planning'!$J$31/12</f>
        <v>58.333333333333336</v>
      </c>
      <c r="AF339" s="22">
        <f>'Retirement Planning'!$J$32/12</f>
        <v>66.666666666666671</v>
      </c>
      <c r="AG339" s="7">
        <f>IF($B339&gt;64.9,'Retirement Planning'!$J$39/12,0)</f>
        <v>183.33333333333334</v>
      </c>
      <c r="AH339" s="7">
        <f>IF($B339&gt;64.9,'Retirement Planning'!$J$40/12,0)</f>
        <v>258.33333333333331</v>
      </c>
      <c r="AI339" s="7">
        <f>IF($B339&gt;64.9,'Retirement Planning'!$J$41/12,0)</f>
        <v>558.33333333333337</v>
      </c>
      <c r="AJ339" s="7">
        <f t="shared" ca="1" si="144"/>
        <v>316.66666666666663</v>
      </c>
      <c r="AK339" s="3" t="str">
        <f t="shared" ca="1" si="145"/>
        <v>N/A</v>
      </c>
      <c r="AL339" s="6" t="str">
        <f t="shared" ca="1" si="146"/>
        <v>N/A</v>
      </c>
      <c r="AM339" s="7">
        <f t="shared" ca="1" si="147"/>
        <v>-2.5011104298755527E-12</v>
      </c>
      <c r="AN339" s="7">
        <f t="shared" ca="1" si="148"/>
        <v>17870.418090897423</v>
      </c>
      <c r="AO339" s="7">
        <f t="shared" si="149"/>
        <v>1125</v>
      </c>
    </row>
    <row r="340" spans="1:41" x14ac:dyDescent="0.2">
      <c r="A340">
        <f t="shared" si="150"/>
        <v>50</v>
      </c>
      <c r="B340" s="5">
        <f t="shared" si="151"/>
        <v>83.8</v>
      </c>
      <c r="C340" s="56">
        <f t="shared" si="152"/>
        <v>56462</v>
      </c>
      <c r="D340" s="57">
        <f ca="1">IF(AND(B339&lt;59.5,OR(B340&gt;59.5,B340=59.5)),(D339-E339+J339-K339)*(1+'Retirement Planning'!$J$23/12),(D339-E339)*(1+'Retirement Planning'!$J$23/12))</f>
        <v>777077.67622460693</v>
      </c>
      <c r="E340" s="58">
        <f t="shared" ca="1" si="139"/>
        <v>1750.569896126075</v>
      </c>
      <c r="F340" s="57">
        <f ca="1">IF(AND(OR(B340&gt;59.5,B340=59.5),B339&lt;59.5),(F339-G339+L339-M339+N339-O339)*(1+'Retirement Planning'!$J$23/12),(F339-G339)*(1+'Retirement Planning'!$J$23/12))</f>
        <v>1309789.5051796129</v>
      </c>
      <c r="G340" s="58">
        <f ca="1">IF(AND($B$10&lt;55,B340&lt;59.5),'Retirement Planning'!$J$25,IF(OR(B340&gt;59.5,B340=59.5),MAX(0,MIN(F340,IF(D340&lt;2500,((Y340+AJ340+AA340))-X340,((Y340+AJ340+AA340)*'Retirement Planning'!$J$44)-X340))),0))</f>
        <v>12606.688653626914</v>
      </c>
      <c r="H340" s="255">
        <f ca="1">IF(MONTH(C340)=1,IF(B340&gt;69.5,F340/(INDEX('Retirement Planning'!D$1:D$264,(160+INT(B340))))/12,0),IF(F340=0,0,H339))</f>
        <v>12207.453007630293</v>
      </c>
      <c r="I340" s="262">
        <f t="shared" ca="1" si="140"/>
        <v>0</v>
      </c>
      <c r="J340" s="254">
        <f ca="1">IF(AND(B339&lt;59.5,OR(B340=59.5,B340&gt;59.5)),0,(J339-K339)*(1+'Retirement Planning'!$J$23/12))</f>
        <v>0</v>
      </c>
      <c r="K340" s="58">
        <f t="shared" ca="1" si="141"/>
        <v>0</v>
      </c>
      <c r="L340" s="57">
        <f>IF(AND(OR(B340&gt;59.5,B340=59.5),B339&lt;59.5),0,(L339-M339)*(1+'Retirement Planning'!$J$23/12))</f>
        <v>0</v>
      </c>
      <c r="M340" s="59">
        <f>IF(AND($B$10&lt;55,B340&lt;59.5),0,IF(B340&lt;59.5,MAX(0,MIN((($Y340+$AJ340+AA340)*'Retirement Planning'!$J$44)-$G340-$X340,L340)),0))</f>
        <v>0</v>
      </c>
      <c r="N340" s="57">
        <f ca="1">(N339-O339)*(1+'Retirement Planning'!$J$23/12)</f>
        <v>0</v>
      </c>
      <c r="O340" s="59">
        <f ca="1">IF(B340&gt;59.5,MAX(0,MIN((AA340+$Y340+$AJ340)*(IF(D340&lt;(MIN(E328:E339)+1),1,'Retirement Planning'!$J$44))-M340-$G340-$X340-(IF(D340&lt;(MIN(E328:E339)+1),D340,0)),N340)),0)</f>
        <v>0</v>
      </c>
      <c r="P340" s="57">
        <f t="shared" si="153"/>
        <v>0</v>
      </c>
      <c r="Q340" s="58">
        <f t="shared" si="154"/>
        <v>0</v>
      </c>
      <c r="R340" s="57">
        <f ca="1">(R339-S339-T339)*(1+'Retirement Planning'!$J$23/12)</f>
        <v>1019289.7572483052</v>
      </c>
      <c r="S340" s="58">
        <f t="shared" ca="1" si="155"/>
        <v>808.33333333333337</v>
      </c>
      <c r="T340" s="273">
        <f t="shared" ca="1" si="142"/>
        <v>-9.0949470177292824E-13</v>
      </c>
      <c r="U340" s="57">
        <f ca="1">(U339-V339)*(1+'Retirement Planning'!$J$23/12)</f>
        <v>636416.81771073735</v>
      </c>
      <c r="V340" s="24">
        <f ca="1">IF(AND($B$10&lt;55,B340&lt;59.5),MIN(U340,MAX(0,(Y340+AA340+AJ340-G340)*'Retirement Planning'!$J$45)),IF(B340&lt;59.5,(MIN(U340,MAX(0,((Y340+AA340+AJ340)-G340-M340)*'Retirement Planning'!$J$45))),MIN(U340,MAX(0,(Y340+AA340+AJ340-G340-M340-K340-X340)*'Retirement Planning'!$J$45))))</f>
        <v>1491.2262078111014</v>
      </c>
      <c r="W340" s="7">
        <f t="shared" ca="1" si="143"/>
        <v>3742573.7563632624</v>
      </c>
      <c r="X340" s="7">
        <f>(IF(B340&gt;'Retirement Planning'!$J$34,IF('Retirement Planning'!$J$34=70,'Retirement Planning'!$J$37/12,IF('Retirement Planning'!$J$34=67,'Retirement Planning'!$J$36/12,'Retirement Planning'!$J$35/12)),0))*'Retirement Planning'!$J$38</f>
        <v>1213.6000000000001</v>
      </c>
      <c r="Y340" s="7">
        <f ca="1">'Retirement Planning'!$F$35*((1+'Retirement Planning'!$J$24)^(YEAR('Projected Retirement Drawdown'!C340)-YEAR(TODAY())))</f>
        <v>13142.702076047317</v>
      </c>
      <c r="Z340" s="7">
        <f ca="1">G340+M340+O340+0.85*X340+V340*'Retirement Planning'!$J$46+T340</f>
        <v>14458.423067923017</v>
      </c>
      <c r="AA340" s="7">
        <f ca="1">IF(MONTH(C340)=1,(((MIN(MAX(0,((SUM(Z328:Z339)-'Retirement Planning'!$I$53-'Retirement Planning'!$I$54)-'Retirement Planning'!$J$51)*'Retirement Planning'!$I$52))))+(MIN(MAX(0,((SUM(Z328:Z339)-'Retirement Planning'!$I$53-'Retirement Planning'!$I$54)-'Retirement Planning'!$J$50)*'Retirement Planning'!$I$51),('Retirement Planning'!$J$51-'Retirement Planning'!$J$50)*'Retirement Planning'!$I$51))+(MIN(MAX(0,((SUM(Z328:Z339)-'Retirement Planning'!$I$53-'Retirement Planning'!$I$54)-'Retirement Planning'!$J$49)*'Retirement Planning'!$I$50),('Retirement Planning'!$J$50-'Retirement Planning'!$J$49)*'Retirement Planning'!$I$50)+MIN(MAX(0,((SUM(Z328:Z339)-'Retirement Planning'!$I$53-'Retirement Planning'!$I$54)-'Retirement Planning'!$J$48)*'Retirement Planning'!$I$49),('Retirement Planning'!$J$49-'Retirement Planning'!$J$48)*'Retirement Planning'!$I$49)+MIN(((SUM(Z328:Z339)-'Retirement Planning'!$I$53-'Retirement Planning'!$I$54))*'Retirement Planning'!$I$48,('Retirement Planning'!$J$48)*'Retirement Planning'!$I$48))+(IF((SUM(Z328:Z339)-'Retirement Planning'!$I$54-'Retirement Planning'!$I$61)&gt;'Retirement Planning'!$J$59,(SUM(Z328:Z339)-'Retirement Planning'!$I$54-'Retirement Planning'!$I$61-'Retirement Planning'!$J$59)*'Retirement Planning'!$I$60+'Retirement Planning'!$K$59,IF((SUM(Z328:Z339)-'Retirement Planning'!$I$54-'Retirement Planning'!$I$61)&gt;'Retirement Planning'!$J$58,(SUM(Z328:Z339)-'Retirement Planning'!$I$54-'Retirement Planning'!$I$61-'Retirement Planning'!$J$58)*'Retirement Planning'!$I$59+'Retirement Planning'!$K$58,IF((SUM(Z328:Z339)-'Retirement Planning'!$I$54-'Retirement Planning'!$I$61)&gt;'Retirement Planning'!$J$57,(SUM(Z328:Z339)-'Retirement Planning'!$I$54-'Retirement Planning'!$I$61-'Retirement Planning'!$J$57)*'Retirement Planning'!$I$58+'Retirement Planning'!$K$57,IF((SUM(Z328:Z339)-'Retirement Planning'!$I$54-'Retirement Planning'!$I$61)&gt;'Retirement Planning'!$J$56,(SUM(Z328:Z339)-'Retirement Planning'!$I$54-'Retirement Planning'!$I$61-'Retirement Planning'!$J$56)*'Retirement Planning'!$I$57+'Retirement Planning'!$K$56,(SUM(Z328:Z339)-'Retirement Planning'!$I$54-'Retirement Planning'!$I$61)*'Retirement Planning'!$I$56))))))/12,AA339)</f>
        <v>3602.7160148501066</v>
      </c>
      <c r="AB340" s="104">
        <f t="shared" ca="1" si="134"/>
        <v>0.25850977728616847</v>
      </c>
      <c r="AC340" s="7">
        <f>IF(B340&lt;65,'Retirement Planning'!$J$28,0)</f>
        <v>0</v>
      </c>
      <c r="AD340" s="7">
        <f>IF(B340&lt;65,'Retirement Planning'!$J$29/12,0)</f>
        <v>0</v>
      </c>
      <c r="AE340" s="22">
        <f>'Retirement Planning'!$J$31/12</f>
        <v>58.333333333333336</v>
      </c>
      <c r="AF340" s="22">
        <f>'Retirement Planning'!$J$32/12</f>
        <v>66.666666666666671</v>
      </c>
      <c r="AG340" s="7">
        <f>IF($B340&gt;64.9,'Retirement Planning'!$J$39/12,0)</f>
        <v>183.33333333333334</v>
      </c>
      <c r="AH340" s="7">
        <f>IF($B340&gt;64.9,'Retirement Planning'!$J$40/12,0)</f>
        <v>258.33333333333331</v>
      </c>
      <c r="AI340" s="7">
        <f>IF($B340&gt;64.9,'Retirement Planning'!$J$41/12,0)</f>
        <v>558.33333333333337</v>
      </c>
      <c r="AJ340" s="7">
        <f t="shared" ca="1" si="144"/>
        <v>316.66666666666663</v>
      </c>
      <c r="AK340" s="3" t="str">
        <f t="shared" ca="1" si="145"/>
        <v>N/A</v>
      </c>
      <c r="AL340" s="6" t="str">
        <f t="shared" ca="1" si="146"/>
        <v>N/A</v>
      </c>
      <c r="AM340" s="7">
        <f t="shared" ca="1" si="147"/>
        <v>-2.5011104298755527E-12</v>
      </c>
      <c r="AN340" s="7">
        <f t="shared" ca="1" si="148"/>
        <v>17870.418090897423</v>
      </c>
      <c r="AO340" s="7">
        <f t="shared" si="149"/>
        <v>1125</v>
      </c>
    </row>
    <row r="341" spans="1:41" x14ac:dyDescent="0.2">
      <c r="A341">
        <f t="shared" si="150"/>
        <v>50</v>
      </c>
      <c r="B341" s="5">
        <f t="shared" si="151"/>
        <v>83.9</v>
      </c>
      <c r="C341" s="56">
        <f t="shared" si="152"/>
        <v>56493</v>
      </c>
      <c r="D341" s="57">
        <f ca="1">IF(AND(B340&lt;59.5,OR(B341&gt;59.5,B341=59.5)),(D340-E340+J340-K340)*(1+'Retirement Planning'!$J$23/12),(D340-E340)*(1+'Retirement Planning'!$J$23/12))</f>
        <v>780819.00666497427</v>
      </c>
      <c r="E341" s="58">
        <f t="shared" ca="1" si="139"/>
        <v>1750.569896126075</v>
      </c>
      <c r="F341" s="57">
        <f ca="1">IF(AND(OR(B341&gt;59.5,B341=59.5),B340&lt;59.5),(F340-G340+L340-M340+N340-O340)*(1+'Retirement Planning'!$J$23/12),(F340-G340)*(1+'Retirement Planning'!$J$23/12))</f>
        <v>1306371.1948097118</v>
      </c>
      <c r="G341" s="58">
        <f ca="1">IF(AND($B$10&lt;55,B341&lt;59.5),'Retirement Planning'!$J$25,IF(OR(B341&gt;59.5,B341=59.5),MAX(0,MIN(F341,IF(D341&lt;2500,((Y341+AJ341+AA341))-X341,((Y341+AJ341+AA341)*'Retirement Planning'!$J$44)-X341))),0))</f>
        <v>12606.688653626914</v>
      </c>
      <c r="H341" s="255">
        <f ca="1">IF(MONTH(C341)=1,IF(B341&gt;69.5,F341/(INDEX('Retirement Planning'!D$1:D$264,(160+INT(B341))))/12,0),IF(F341=0,0,H340))</f>
        <v>12207.453007630293</v>
      </c>
      <c r="I341" s="262">
        <f t="shared" ca="1" si="140"/>
        <v>0</v>
      </c>
      <c r="J341" s="254">
        <f ca="1">IF(AND(B340&lt;59.5,OR(B341=59.5,B341&gt;59.5)),0,(J340-K340)*(1+'Retirement Planning'!$J$23/12))</f>
        <v>0</v>
      </c>
      <c r="K341" s="58">
        <f t="shared" ca="1" si="141"/>
        <v>0</v>
      </c>
      <c r="L341" s="57">
        <f>IF(AND(OR(B341&gt;59.5,B341=59.5),B340&lt;59.5),0,(L340-M340)*(1+'Retirement Planning'!$J$23/12))</f>
        <v>0</v>
      </c>
      <c r="M341" s="59">
        <f>IF(AND($B$10&lt;55,B341&lt;59.5),0,IF(B341&lt;59.5,MAX(0,MIN((($Y341+$AJ341+AA341)*'Retirement Planning'!$J$44)-$G341-$X341,L341)),0))</f>
        <v>0</v>
      </c>
      <c r="N341" s="57">
        <f ca="1">(N340-O340)*(1+'Retirement Planning'!$J$23/12)</f>
        <v>0</v>
      </c>
      <c r="O341" s="59">
        <f ca="1">IF(B341&gt;59.5,MAX(0,MIN((AA341+$Y341+$AJ341)*(IF(D341&lt;(MIN(E329:E340)+1),1,'Retirement Planning'!$J$44))-M341-$G341-$X341-(IF(D341&lt;(MIN(E329:E340)+1),D341,0)),N341)),0)</f>
        <v>0</v>
      </c>
      <c r="P341" s="57">
        <f t="shared" si="153"/>
        <v>0</v>
      </c>
      <c r="Q341" s="58">
        <f t="shared" si="154"/>
        <v>0</v>
      </c>
      <c r="R341" s="57">
        <f ca="1">(R340-S340-T340)*(1+'Retirement Planning'!$J$23/12)</f>
        <v>1025695.6673343696</v>
      </c>
      <c r="S341" s="58">
        <f t="shared" ca="1" si="155"/>
        <v>808.33333333333337</v>
      </c>
      <c r="T341" s="273">
        <f t="shared" ca="1" si="142"/>
        <v>-9.0949470177292824E-13</v>
      </c>
      <c r="U341" s="57">
        <f ca="1">(U340-V340)*(1+'Retirement Planning'!$J$23/12)</f>
        <v>639422.98110940529</v>
      </c>
      <c r="V341" s="24">
        <f ca="1">IF(AND($B$10&lt;55,B341&lt;59.5),MIN(U341,MAX(0,(Y341+AA341+AJ341-G341)*'Retirement Planning'!$J$45)),IF(B341&lt;59.5,(MIN(U341,MAX(0,((Y341+AA341+AJ341)-G341-M341)*'Retirement Planning'!$J$45))),MIN(U341,MAX(0,(Y341+AA341+AJ341-G341-M341-K341-X341)*'Retirement Planning'!$J$45))))</f>
        <v>1491.2262078111014</v>
      </c>
      <c r="W341" s="7">
        <f t="shared" ca="1" si="143"/>
        <v>3752308.8499184609</v>
      </c>
      <c r="X341" s="7">
        <f>(IF(B341&gt;'Retirement Planning'!$J$34,IF('Retirement Planning'!$J$34=70,'Retirement Planning'!$J$37/12,IF('Retirement Planning'!$J$34=67,'Retirement Planning'!$J$36/12,'Retirement Planning'!$J$35/12)),0))*'Retirement Planning'!$J$38</f>
        <v>1213.6000000000001</v>
      </c>
      <c r="Y341" s="7">
        <f ca="1">'Retirement Planning'!$F$35*((1+'Retirement Planning'!$J$24)^(YEAR('Projected Retirement Drawdown'!C341)-YEAR(TODAY())))</f>
        <v>13142.702076047317</v>
      </c>
      <c r="Z341" s="7">
        <f ca="1">G341+M341+O341+0.85*X341+V341*'Retirement Planning'!$J$46+T341</f>
        <v>14458.423067923017</v>
      </c>
      <c r="AA341" s="7">
        <f ca="1">IF(MONTH(C341)=1,(((MIN(MAX(0,((SUM(Z329:Z340)-'Retirement Planning'!$I$53-'Retirement Planning'!$I$54)-'Retirement Planning'!$J$51)*'Retirement Planning'!$I$52))))+(MIN(MAX(0,((SUM(Z329:Z340)-'Retirement Planning'!$I$53-'Retirement Planning'!$I$54)-'Retirement Planning'!$J$50)*'Retirement Planning'!$I$51),('Retirement Planning'!$J$51-'Retirement Planning'!$J$50)*'Retirement Planning'!$I$51))+(MIN(MAX(0,((SUM(Z329:Z340)-'Retirement Planning'!$I$53-'Retirement Planning'!$I$54)-'Retirement Planning'!$J$49)*'Retirement Planning'!$I$50),('Retirement Planning'!$J$50-'Retirement Planning'!$J$49)*'Retirement Planning'!$I$50)+MIN(MAX(0,((SUM(Z329:Z340)-'Retirement Planning'!$I$53-'Retirement Planning'!$I$54)-'Retirement Planning'!$J$48)*'Retirement Planning'!$I$49),('Retirement Planning'!$J$49-'Retirement Planning'!$J$48)*'Retirement Planning'!$I$49)+MIN(((SUM(Z329:Z340)-'Retirement Planning'!$I$53-'Retirement Planning'!$I$54))*'Retirement Planning'!$I$48,('Retirement Planning'!$J$48)*'Retirement Planning'!$I$48))+(IF((SUM(Z329:Z340)-'Retirement Planning'!$I$54-'Retirement Planning'!$I$61)&gt;'Retirement Planning'!$J$59,(SUM(Z329:Z340)-'Retirement Planning'!$I$54-'Retirement Planning'!$I$61-'Retirement Planning'!$J$59)*'Retirement Planning'!$I$60+'Retirement Planning'!$K$59,IF((SUM(Z329:Z340)-'Retirement Planning'!$I$54-'Retirement Planning'!$I$61)&gt;'Retirement Planning'!$J$58,(SUM(Z329:Z340)-'Retirement Planning'!$I$54-'Retirement Planning'!$I$61-'Retirement Planning'!$J$58)*'Retirement Planning'!$I$59+'Retirement Planning'!$K$58,IF((SUM(Z329:Z340)-'Retirement Planning'!$I$54-'Retirement Planning'!$I$61)&gt;'Retirement Planning'!$J$57,(SUM(Z329:Z340)-'Retirement Planning'!$I$54-'Retirement Planning'!$I$61-'Retirement Planning'!$J$57)*'Retirement Planning'!$I$58+'Retirement Planning'!$K$57,IF((SUM(Z329:Z340)-'Retirement Planning'!$I$54-'Retirement Planning'!$I$61)&gt;'Retirement Planning'!$J$56,(SUM(Z329:Z340)-'Retirement Planning'!$I$54-'Retirement Planning'!$I$61-'Retirement Planning'!$J$56)*'Retirement Planning'!$I$57+'Retirement Planning'!$K$56,(SUM(Z329:Z340)-'Retirement Planning'!$I$54-'Retirement Planning'!$I$61)*'Retirement Planning'!$I$56))))))/12,AA340)</f>
        <v>3602.7160148501066</v>
      </c>
      <c r="AB341" s="104">
        <f t="shared" ca="1" si="134"/>
        <v>0.25850977728616847</v>
      </c>
      <c r="AC341" s="7">
        <f>IF(B341&lt;65,'Retirement Planning'!$J$28,0)</f>
        <v>0</v>
      </c>
      <c r="AD341" s="7">
        <f>IF(B341&lt;65,'Retirement Planning'!$J$29/12,0)</f>
        <v>0</v>
      </c>
      <c r="AE341" s="22">
        <f>'Retirement Planning'!$J$31/12</f>
        <v>58.333333333333336</v>
      </c>
      <c r="AF341" s="22">
        <f>'Retirement Planning'!$J$32/12</f>
        <v>66.666666666666671</v>
      </c>
      <c r="AG341" s="7">
        <f>IF($B341&gt;64.9,'Retirement Planning'!$J$39/12,0)</f>
        <v>183.33333333333334</v>
      </c>
      <c r="AH341" s="7">
        <f>IF($B341&gt;64.9,'Retirement Planning'!$J$40/12,0)</f>
        <v>258.33333333333331</v>
      </c>
      <c r="AI341" s="7">
        <f>IF($B341&gt;64.9,'Retirement Planning'!$J$41/12,0)</f>
        <v>558.33333333333337</v>
      </c>
      <c r="AJ341" s="7">
        <f t="shared" ca="1" si="144"/>
        <v>316.66666666666663</v>
      </c>
      <c r="AK341" s="3" t="str">
        <f t="shared" ca="1" si="145"/>
        <v>N/A</v>
      </c>
      <c r="AL341" s="6" t="str">
        <f t="shared" ca="1" si="146"/>
        <v>N/A</v>
      </c>
      <c r="AM341" s="7">
        <f t="shared" ca="1" si="147"/>
        <v>-2.5011104298755527E-12</v>
      </c>
      <c r="AN341" s="7">
        <f t="shared" ca="1" si="148"/>
        <v>17870.418090897423</v>
      </c>
      <c r="AO341" s="7">
        <f t="shared" si="149"/>
        <v>1125</v>
      </c>
    </row>
    <row r="342" spans="1:41" x14ac:dyDescent="0.2">
      <c r="A342">
        <f t="shared" si="150"/>
        <v>50</v>
      </c>
      <c r="B342" s="5">
        <f t="shared" si="151"/>
        <v>84</v>
      </c>
      <c r="C342" s="56">
        <f t="shared" si="152"/>
        <v>56523</v>
      </c>
      <c r="D342" s="57">
        <f ca="1">IF(AND(B341&lt;59.5,OR(B342&gt;59.5,B342=59.5)),(D341-E341+J341-K341)*(1+'Retirement Planning'!$J$23/12),(D341-E341)*(1+'Retirement Planning'!$J$23/12))</f>
        <v>784586.83819596085</v>
      </c>
      <c r="E342" s="58">
        <f t="shared" ca="1" si="139"/>
        <v>1750.569896126075</v>
      </c>
      <c r="F342" s="57">
        <f ca="1">IF(AND(OR(B342&gt;59.5,B342=59.5),B341&lt;59.5),(F341-G341+L341-M341+N341-O341)*(1+'Retirement Planning'!$J$23/12),(F341-G341)*(1+'Retirement Planning'!$J$23/12))</f>
        <v>1302928.6714080237</v>
      </c>
      <c r="G342" s="58">
        <f ca="1">IF(AND($B$10&lt;55,B342&lt;59.5),'Retirement Planning'!$J$25,IF(OR(B342&gt;59.5,B342=59.5),MAX(0,MIN(F342,IF(D342&lt;2500,((Y342+AJ342+AA342))-X342,((Y342+AJ342+AA342)*'Retirement Planning'!$J$44)-X342))),0))</f>
        <v>12606.688653626914</v>
      </c>
      <c r="H342" s="255">
        <f ca="1">IF(MONTH(C342)=1,IF(B342&gt;69.5,F342/(INDEX('Retirement Planning'!D$1:D$264,(160+INT(B342))))/12,0),IF(F342=0,0,H341))</f>
        <v>12207.453007630293</v>
      </c>
      <c r="I342" s="262">
        <f t="shared" ca="1" si="140"/>
        <v>0</v>
      </c>
      <c r="J342" s="254">
        <f ca="1">IF(AND(B341&lt;59.5,OR(B342=59.5,B342&gt;59.5)),0,(J341-K341)*(1+'Retirement Planning'!$J$23/12))</f>
        <v>0</v>
      </c>
      <c r="K342" s="58">
        <f t="shared" ca="1" si="141"/>
        <v>0</v>
      </c>
      <c r="L342" s="57">
        <f>IF(AND(OR(B342&gt;59.5,B342=59.5),B341&lt;59.5),0,(L341-M341)*(1+'Retirement Planning'!$J$23/12))</f>
        <v>0</v>
      </c>
      <c r="M342" s="59">
        <f>IF(AND($B$10&lt;55,B342&lt;59.5),0,IF(B342&lt;59.5,MAX(0,MIN((($Y342+$AJ342+AA342)*'Retirement Planning'!$J$44)-$G342-$X342,L342)),0))</f>
        <v>0</v>
      </c>
      <c r="N342" s="57">
        <f ca="1">(N341-O341)*(1+'Retirement Planning'!$J$23/12)</f>
        <v>0</v>
      </c>
      <c r="O342" s="59">
        <f ca="1">IF(B342&gt;59.5,MAX(0,MIN((AA342+$Y342+$AJ342)*(IF(D342&lt;(MIN(E330:E341)+1),1,'Retirement Planning'!$J$44))-M342-$G342-$X342-(IF(D342&lt;(MIN(E330:E341)+1),D342,0)),N342)),0)</f>
        <v>0</v>
      </c>
      <c r="P342" s="57">
        <f t="shared" si="153"/>
        <v>0</v>
      </c>
      <c r="Q342" s="58">
        <f t="shared" si="154"/>
        <v>0</v>
      </c>
      <c r="R342" s="57">
        <f ca="1">(R341-S341-T341)*(1+'Retirement Planning'!$J$23/12)</f>
        <v>1032146.9526168769</v>
      </c>
      <c r="S342" s="58">
        <f t="shared" ca="1" si="155"/>
        <v>808.33333333333337</v>
      </c>
      <c r="T342" s="273">
        <f t="shared" ca="1" si="142"/>
        <v>-9.0949470177292824E-13</v>
      </c>
      <c r="U342" s="57">
        <f ca="1">(U341-V341)*(1+'Retirement Planning'!$J$23/12)</f>
        <v>642450.43816548039</v>
      </c>
      <c r="V342" s="24">
        <f ca="1">IF(AND($B$10&lt;55,B342&lt;59.5),MIN(U342,MAX(0,(Y342+AA342+AJ342-G342)*'Retirement Planning'!$J$45)),IF(B342&lt;59.5,(MIN(U342,MAX(0,((Y342+AA342+AJ342)-G342-M342)*'Retirement Planning'!$J$45))),MIN(U342,MAX(0,(Y342+AA342+AJ342-G342-M342-K342-X342)*'Retirement Planning'!$J$45))))</f>
        <v>1491.2262078111014</v>
      </c>
      <c r="W342" s="7">
        <f t="shared" ca="1" si="143"/>
        <v>3762112.9003863418</v>
      </c>
      <c r="X342" s="7">
        <f>(IF(B342&gt;'Retirement Planning'!$J$34,IF('Retirement Planning'!$J$34=70,'Retirement Planning'!$J$37/12,IF('Retirement Planning'!$J$34=67,'Retirement Planning'!$J$36/12,'Retirement Planning'!$J$35/12)),0))*'Retirement Planning'!$J$38</f>
        <v>1213.6000000000001</v>
      </c>
      <c r="Y342" s="7">
        <f ca="1">'Retirement Planning'!$F$35*((1+'Retirement Planning'!$J$24)^(YEAR('Projected Retirement Drawdown'!C342)-YEAR(TODAY())))</f>
        <v>13142.702076047317</v>
      </c>
      <c r="Z342" s="7">
        <f ca="1">G342+M342+O342+0.85*X342+V342*'Retirement Planning'!$J$46+T342</f>
        <v>14458.423067923017</v>
      </c>
      <c r="AA342" s="7">
        <f ca="1">IF(MONTH(C342)=1,(((MIN(MAX(0,((SUM(Z330:Z341)-'Retirement Planning'!$I$53-'Retirement Planning'!$I$54)-'Retirement Planning'!$J$51)*'Retirement Planning'!$I$52))))+(MIN(MAX(0,((SUM(Z330:Z341)-'Retirement Planning'!$I$53-'Retirement Planning'!$I$54)-'Retirement Planning'!$J$50)*'Retirement Planning'!$I$51),('Retirement Planning'!$J$51-'Retirement Planning'!$J$50)*'Retirement Planning'!$I$51))+(MIN(MAX(0,((SUM(Z330:Z341)-'Retirement Planning'!$I$53-'Retirement Planning'!$I$54)-'Retirement Planning'!$J$49)*'Retirement Planning'!$I$50),('Retirement Planning'!$J$50-'Retirement Planning'!$J$49)*'Retirement Planning'!$I$50)+MIN(MAX(0,((SUM(Z330:Z341)-'Retirement Planning'!$I$53-'Retirement Planning'!$I$54)-'Retirement Planning'!$J$48)*'Retirement Planning'!$I$49),('Retirement Planning'!$J$49-'Retirement Planning'!$J$48)*'Retirement Planning'!$I$49)+MIN(((SUM(Z330:Z341)-'Retirement Planning'!$I$53-'Retirement Planning'!$I$54))*'Retirement Planning'!$I$48,('Retirement Planning'!$J$48)*'Retirement Planning'!$I$48))+(IF((SUM(Z330:Z341)-'Retirement Planning'!$I$54-'Retirement Planning'!$I$61)&gt;'Retirement Planning'!$J$59,(SUM(Z330:Z341)-'Retirement Planning'!$I$54-'Retirement Planning'!$I$61-'Retirement Planning'!$J$59)*'Retirement Planning'!$I$60+'Retirement Planning'!$K$59,IF((SUM(Z330:Z341)-'Retirement Planning'!$I$54-'Retirement Planning'!$I$61)&gt;'Retirement Planning'!$J$58,(SUM(Z330:Z341)-'Retirement Planning'!$I$54-'Retirement Planning'!$I$61-'Retirement Planning'!$J$58)*'Retirement Planning'!$I$59+'Retirement Planning'!$K$58,IF((SUM(Z330:Z341)-'Retirement Planning'!$I$54-'Retirement Planning'!$I$61)&gt;'Retirement Planning'!$J$57,(SUM(Z330:Z341)-'Retirement Planning'!$I$54-'Retirement Planning'!$I$61-'Retirement Planning'!$J$57)*'Retirement Planning'!$I$58+'Retirement Planning'!$K$57,IF((SUM(Z330:Z341)-'Retirement Planning'!$I$54-'Retirement Planning'!$I$61)&gt;'Retirement Planning'!$J$56,(SUM(Z330:Z341)-'Retirement Planning'!$I$54-'Retirement Planning'!$I$61-'Retirement Planning'!$J$56)*'Retirement Planning'!$I$57+'Retirement Planning'!$K$56,(SUM(Z330:Z341)-'Retirement Planning'!$I$54-'Retirement Planning'!$I$61)*'Retirement Planning'!$I$56))))))/12,AA341)</f>
        <v>3602.7160148501066</v>
      </c>
      <c r="AB342" s="104">
        <f t="shared" ca="1" si="134"/>
        <v>0.25850977728616847</v>
      </c>
      <c r="AC342" s="7">
        <f>IF(B342&lt;65,'Retirement Planning'!$J$28,0)</f>
        <v>0</v>
      </c>
      <c r="AD342" s="7">
        <f>IF(B342&lt;65,'Retirement Planning'!$J$29/12,0)</f>
        <v>0</v>
      </c>
      <c r="AE342" s="22">
        <f>'Retirement Planning'!$J$31/12</f>
        <v>58.333333333333336</v>
      </c>
      <c r="AF342" s="22">
        <f>'Retirement Planning'!$J$32/12</f>
        <v>66.666666666666671</v>
      </c>
      <c r="AG342" s="7">
        <f>IF($B342&gt;64.9,'Retirement Planning'!$J$39/12,0)</f>
        <v>183.33333333333334</v>
      </c>
      <c r="AH342" s="7">
        <f>IF($B342&gt;64.9,'Retirement Planning'!$J$40/12,0)</f>
        <v>258.33333333333331</v>
      </c>
      <c r="AI342" s="7">
        <f>IF($B342&gt;64.9,'Retirement Planning'!$J$41/12,0)</f>
        <v>558.33333333333337</v>
      </c>
      <c r="AJ342" s="7">
        <f t="shared" ca="1" si="144"/>
        <v>316.66666666666663</v>
      </c>
      <c r="AK342" s="3" t="str">
        <f t="shared" ca="1" si="145"/>
        <v>N/A</v>
      </c>
      <c r="AL342" s="6" t="str">
        <f t="shared" ca="1" si="146"/>
        <v>N/A</v>
      </c>
      <c r="AM342" s="7">
        <f t="shared" ca="1" si="147"/>
        <v>-2.5011104298755527E-12</v>
      </c>
      <c r="AN342" s="7">
        <f t="shared" ca="1" si="148"/>
        <v>17870.418090897423</v>
      </c>
      <c r="AO342" s="7">
        <f t="shared" si="149"/>
        <v>1125</v>
      </c>
    </row>
    <row r="343" spans="1:41" x14ac:dyDescent="0.2">
      <c r="A343">
        <f t="shared" si="150"/>
        <v>50</v>
      </c>
      <c r="B343" s="5">
        <f t="shared" si="151"/>
        <v>84</v>
      </c>
      <c r="C343" s="56">
        <f t="shared" si="152"/>
        <v>56554</v>
      </c>
      <c r="D343" s="57">
        <f ca="1">IF(AND(B342&lt;59.5,OR(B343&gt;59.5,B343=59.5)),(D342-E342+J342-K342)*(1+'Retirement Planning'!$J$23/12),(D342-E342)*(1+'Retirement Planning'!$J$23/12))</f>
        <v>788381.35853362526</v>
      </c>
      <c r="E343" s="58">
        <f t="shared" ca="1" si="139"/>
        <v>1750.569896126075</v>
      </c>
      <c r="F343" s="57">
        <f ca="1">IF(AND(OR(B343&gt;59.5,B343=59.5),B342&lt;59.5),(F342-G342+L342-M342+N342-O342)*(1+'Retirement Planning'!$J$23/12),(F342-G342)*(1+'Retirement Planning'!$J$23/12))</f>
        <v>1299461.7634655738</v>
      </c>
      <c r="G343" s="58">
        <f ca="1">IF(AND($B$10&lt;55,B343&lt;59.5),'Retirement Planning'!$J$25,IF(OR(B343&gt;59.5,B343=59.5),MAX(0,MIN(F343,IF(D343&lt;2500,((Y343+AJ343+AA343))-X343,((Y343+AJ343+AA343)*'Retirement Planning'!$J$44)-X343))),0))</f>
        <v>12606.688653626914</v>
      </c>
      <c r="H343" s="255">
        <f ca="1">IF(MONTH(C343)=1,IF(B343&gt;69.5,F343/(INDEX('Retirement Planning'!D$1:D$264,(160+INT(B343))))/12,0),IF(F343=0,0,H342))</f>
        <v>12207.453007630293</v>
      </c>
      <c r="I343" s="262">
        <f t="shared" ca="1" si="140"/>
        <v>0</v>
      </c>
      <c r="J343" s="254">
        <f ca="1">IF(AND(B342&lt;59.5,OR(B343=59.5,B343&gt;59.5)),0,(J342-K342)*(1+'Retirement Planning'!$J$23/12))</f>
        <v>0</v>
      </c>
      <c r="K343" s="58">
        <f t="shared" ca="1" si="141"/>
        <v>0</v>
      </c>
      <c r="L343" s="57">
        <f>IF(AND(OR(B343&gt;59.5,B343=59.5),B342&lt;59.5),0,(L342-M342)*(1+'Retirement Planning'!$J$23/12))</f>
        <v>0</v>
      </c>
      <c r="M343" s="59">
        <f>IF(AND($B$10&lt;55,B343&lt;59.5),0,IF(B343&lt;59.5,MAX(0,MIN((($Y343+$AJ343+AA343)*'Retirement Planning'!$J$44)-$G343-$X343,L343)),0))</f>
        <v>0</v>
      </c>
      <c r="N343" s="57">
        <f ca="1">(N342-O342)*(1+'Retirement Planning'!$J$23/12)</f>
        <v>0</v>
      </c>
      <c r="O343" s="59">
        <f ca="1">IF(B343&gt;59.5,MAX(0,MIN((AA343+$Y343+$AJ343)*(IF(D343&lt;(MIN(E331:E342)+1),1,'Retirement Planning'!$J$44))-M343-$G343-$X343-(IF(D343&lt;(MIN(E331:E342)+1),D343,0)),N343)),0)</f>
        <v>0</v>
      </c>
      <c r="P343" s="57">
        <f t="shared" si="153"/>
        <v>0</v>
      </c>
      <c r="Q343" s="58">
        <f t="shared" si="154"/>
        <v>0</v>
      </c>
      <c r="R343" s="57">
        <f ca="1">(R342-S342-T342)*(1+'Retirement Planning'!$J$23/12)</f>
        <v>1038643.9345034687</v>
      </c>
      <c r="S343" s="58">
        <f t="shared" ca="1" si="155"/>
        <v>808.33333333333337</v>
      </c>
      <c r="T343" s="273">
        <f t="shared" ca="1" si="142"/>
        <v>-9.0949470177292824E-13</v>
      </c>
      <c r="U343" s="57">
        <f ca="1">(U342-V342)*(1+'Retirement Planning'!$J$23/12)</f>
        <v>645499.33970903605</v>
      </c>
      <c r="V343" s="24">
        <f ca="1">IF(AND($B$10&lt;55,B343&lt;59.5),MIN(U343,MAX(0,(Y343+AA343+AJ343-G343)*'Retirement Planning'!$J$45)),IF(B343&lt;59.5,(MIN(U343,MAX(0,((Y343+AA343+AJ343)-G343-M343)*'Retirement Planning'!$J$45))),MIN(U343,MAX(0,(Y343+AA343+AJ343-G343-M343-K343-X343)*'Retirement Planning'!$J$45))))</f>
        <v>1491.2262078111014</v>
      </c>
      <c r="W343" s="7">
        <f t="shared" ca="1" si="143"/>
        <v>3771986.3962117038</v>
      </c>
      <c r="X343" s="7">
        <f>(IF(B343&gt;'Retirement Planning'!$J$34,IF('Retirement Planning'!$J$34=70,'Retirement Planning'!$J$37/12,IF('Retirement Planning'!$J$34=67,'Retirement Planning'!$J$36/12,'Retirement Planning'!$J$35/12)),0))*'Retirement Planning'!$J$38</f>
        <v>1213.6000000000001</v>
      </c>
      <c r="Y343" s="7">
        <f ca="1">'Retirement Planning'!$F$35*((1+'Retirement Planning'!$J$24)^(YEAR('Projected Retirement Drawdown'!C343)-YEAR(TODAY())))</f>
        <v>13142.702076047317</v>
      </c>
      <c r="Z343" s="7">
        <f ca="1">G343+M343+O343+0.85*X343+V343*'Retirement Planning'!$J$46+T343</f>
        <v>14458.423067923017</v>
      </c>
      <c r="AA343" s="7">
        <f ca="1">IF(MONTH(C343)=1,(((MIN(MAX(0,((SUM(Z331:Z342)-'Retirement Planning'!$I$53-'Retirement Planning'!$I$54)-'Retirement Planning'!$J$51)*'Retirement Planning'!$I$52))))+(MIN(MAX(0,((SUM(Z331:Z342)-'Retirement Planning'!$I$53-'Retirement Planning'!$I$54)-'Retirement Planning'!$J$50)*'Retirement Planning'!$I$51),('Retirement Planning'!$J$51-'Retirement Planning'!$J$50)*'Retirement Planning'!$I$51))+(MIN(MAX(0,((SUM(Z331:Z342)-'Retirement Planning'!$I$53-'Retirement Planning'!$I$54)-'Retirement Planning'!$J$49)*'Retirement Planning'!$I$50),('Retirement Planning'!$J$50-'Retirement Planning'!$J$49)*'Retirement Planning'!$I$50)+MIN(MAX(0,((SUM(Z331:Z342)-'Retirement Planning'!$I$53-'Retirement Planning'!$I$54)-'Retirement Planning'!$J$48)*'Retirement Planning'!$I$49),('Retirement Planning'!$J$49-'Retirement Planning'!$J$48)*'Retirement Planning'!$I$49)+MIN(((SUM(Z331:Z342)-'Retirement Planning'!$I$53-'Retirement Planning'!$I$54))*'Retirement Planning'!$I$48,('Retirement Planning'!$J$48)*'Retirement Planning'!$I$48))+(IF((SUM(Z331:Z342)-'Retirement Planning'!$I$54-'Retirement Planning'!$I$61)&gt;'Retirement Planning'!$J$59,(SUM(Z331:Z342)-'Retirement Planning'!$I$54-'Retirement Planning'!$I$61-'Retirement Planning'!$J$59)*'Retirement Planning'!$I$60+'Retirement Planning'!$K$59,IF((SUM(Z331:Z342)-'Retirement Planning'!$I$54-'Retirement Planning'!$I$61)&gt;'Retirement Planning'!$J$58,(SUM(Z331:Z342)-'Retirement Planning'!$I$54-'Retirement Planning'!$I$61-'Retirement Planning'!$J$58)*'Retirement Planning'!$I$59+'Retirement Planning'!$K$58,IF((SUM(Z331:Z342)-'Retirement Planning'!$I$54-'Retirement Planning'!$I$61)&gt;'Retirement Planning'!$J$57,(SUM(Z331:Z342)-'Retirement Planning'!$I$54-'Retirement Planning'!$I$61-'Retirement Planning'!$J$57)*'Retirement Planning'!$I$58+'Retirement Planning'!$K$57,IF((SUM(Z331:Z342)-'Retirement Planning'!$I$54-'Retirement Planning'!$I$61)&gt;'Retirement Planning'!$J$56,(SUM(Z331:Z342)-'Retirement Planning'!$I$54-'Retirement Planning'!$I$61-'Retirement Planning'!$J$56)*'Retirement Planning'!$I$57+'Retirement Planning'!$K$56,(SUM(Z331:Z342)-'Retirement Planning'!$I$54-'Retirement Planning'!$I$61)*'Retirement Planning'!$I$56))))))/12,AA342)</f>
        <v>3602.7160148501066</v>
      </c>
      <c r="AB343" s="104">
        <f t="shared" ca="1" si="134"/>
        <v>0.25850977728616847</v>
      </c>
      <c r="AC343" s="7">
        <f>IF(B343&lt;65,'Retirement Planning'!$J$28,0)</f>
        <v>0</v>
      </c>
      <c r="AD343" s="7">
        <f>IF(B343&lt;65,'Retirement Planning'!$J$29/12,0)</f>
        <v>0</v>
      </c>
      <c r="AE343" s="22">
        <f>'Retirement Planning'!$J$31/12</f>
        <v>58.333333333333336</v>
      </c>
      <c r="AF343" s="22">
        <f>'Retirement Planning'!$J$32/12</f>
        <v>66.666666666666671</v>
      </c>
      <c r="AG343" s="7">
        <f>IF($B343&gt;64.9,'Retirement Planning'!$J$39/12,0)</f>
        <v>183.33333333333334</v>
      </c>
      <c r="AH343" s="7">
        <f>IF($B343&gt;64.9,'Retirement Planning'!$J$40/12,0)</f>
        <v>258.33333333333331</v>
      </c>
      <c r="AI343" s="7">
        <f>IF($B343&gt;64.9,'Retirement Planning'!$J$41/12,0)</f>
        <v>558.33333333333337</v>
      </c>
      <c r="AJ343" s="7">
        <f t="shared" ca="1" si="144"/>
        <v>316.66666666666663</v>
      </c>
      <c r="AK343" s="3" t="str">
        <f t="shared" ca="1" si="145"/>
        <v>N/A</v>
      </c>
      <c r="AL343" s="6" t="str">
        <f t="shared" ca="1" si="146"/>
        <v>N/A</v>
      </c>
      <c r="AM343" s="7">
        <f t="shared" ca="1" si="147"/>
        <v>-2.5011104298755527E-12</v>
      </c>
      <c r="AN343" s="7">
        <f t="shared" ca="1" si="148"/>
        <v>17870.418090897423</v>
      </c>
      <c r="AO343" s="7">
        <f t="shared" si="149"/>
        <v>1125</v>
      </c>
    </row>
    <row r="344" spans="1:41" x14ac:dyDescent="0.2">
      <c r="A344">
        <f t="shared" si="150"/>
        <v>50</v>
      </c>
      <c r="B344" s="5">
        <f t="shared" si="151"/>
        <v>84.1</v>
      </c>
      <c r="C344" s="56">
        <f t="shared" si="152"/>
        <v>56584</v>
      </c>
      <c r="D344" s="57">
        <f ca="1">IF(AND(B343&lt;59.5,OR(B344&gt;59.5,B344=59.5)),(D343-E343+J343-K343)*(1+'Retirement Planning'!$J$23/12),(D343-E343)*(1+'Retirement Planning'!$J$23/12))</f>
        <v>792202.75672368146</v>
      </c>
      <c r="E344" s="58">
        <f t="shared" ca="1" si="139"/>
        <v>1750.569896126075</v>
      </c>
      <c r="F344" s="57">
        <f ca="1">IF(AND(OR(B344&gt;59.5,B344=59.5),B343&lt;59.5),(F343-G343+L343-M343+N343-O343)*(1+'Retirement Planning'!$J$23/12),(F343-G343)*(1+'Retirement Planning'!$J$23/12))</f>
        <v>1295970.2982585314</v>
      </c>
      <c r="G344" s="58">
        <f ca="1">IF(AND($B$10&lt;55,B344&lt;59.5),'Retirement Planning'!$J$25,IF(OR(B344&gt;59.5,B344=59.5),MAX(0,MIN(F344,IF(D344&lt;2500,((Y344+AJ344+AA344))-X344,((Y344+AJ344+AA344)*'Retirement Planning'!$J$44)-X344))),0))</f>
        <v>12606.688653626914</v>
      </c>
      <c r="H344" s="255">
        <f ca="1">IF(MONTH(C344)=1,IF(B344&gt;69.5,F344/(INDEX('Retirement Planning'!D$1:D$264,(160+INT(B344))))/12,0),IF(F344=0,0,H343))</f>
        <v>12207.453007630293</v>
      </c>
      <c r="I344" s="262">
        <f t="shared" ca="1" si="140"/>
        <v>0</v>
      </c>
      <c r="J344" s="254">
        <f ca="1">IF(AND(B343&lt;59.5,OR(B344=59.5,B344&gt;59.5)),0,(J343-K343)*(1+'Retirement Planning'!$J$23/12))</f>
        <v>0</v>
      </c>
      <c r="K344" s="58">
        <f t="shared" ca="1" si="141"/>
        <v>0</v>
      </c>
      <c r="L344" s="57">
        <f>IF(AND(OR(B344&gt;59.5,B344=59.5),B343&lt;59.5),0,(L343-M343)*(1+'Retirement Planning'!$J$23/12))</f>
        <v>0</v>
      </c>
      <c r="M344" s="59">
        <f>IF(AND($B$10&lt;55,B344&lt;59.5),0,IF(B344&lt;59.5,MAX(0,MIN((($Y344+$AJ344+AA344)*'Retirement Planning'!$J$44)-$G344-$X344,L344)),0))</f>
        <v>0</v>
      </c>
      <c r="N344" s="57">
        <f ca="1">(N343-O343)*(1+'Retirement Planning'!$J$23/12)</f>
        <v>0</v>
      </c>
      <c r="O344" s="59">
        <f ca="1">IF(B344&gt;59.5,MAX(0,MIN((AA344+$Y344+$AJ344)*(IF(D344&lt;(MIN(E332:E343)+1),1,'Retirement Planning'!$J$44))-M344-$G344-$X344-(IF(D344&lt;(MIN(E332:E343)+1),D344,0)),N344)),0)</f>
        <v>0</v>
      </c>
      <c r="P344" s="57">
        <f t="shared" si="153"/>
        <v>0</v>
      </c>
      <c r="Q344" s="58">
        <f t="shared" si="154"/>
        <v>0</v>
      </c>
      <c r="R344" s="57">
        <f ca="1">(R343-S343-T343)*(1+'Retirement Planning'!$J$23/12)</f>
        <v>1045186.9366784238</v>
      </c>
      <c r="S344" s="58">
        <f t="shared" ca="1" si="155"/>
        <v>808.33333333333337</v>
      </c>
      <c r="T344" s="273">
        <f t="shared" ca="1" si="142"/>
        <v>-9.0949470177292824E-13</v>
      </c>
      <c r="U344" s="57">
        <f ca="1">(U343-V343)*(1+'Retirement Planning'!$J$23/12)</f>
        <v>648569.83763852529</v>
      </c>
      <c r="V344" s="24">
        <f ca="1">IF(AND($B$10&lt;55,B344&lt;59.5),MIN(U344,MAX(0,(Y344+AA344+AJ344-G344)*'Retirement Planning'!$J$45)),IF(B344&lt;59.5,(MIN(U344,MAX(0,((Y344+AA344+AJ344)-G344-M344)*'Retirement Planning'!$J$45))),MIN(U344,MAX(0,(Y344+AA344+AJ344-G344-M344-K344-X344)*'Retirement Planning'!$J$45))))</f>
        <v>1491.2262078111014</v>
      </c>
      <c r="W344" s="7">
        <f t="shared" ca="1" si="143"/>
        <v>3781929.8292991621</v>
      </c>
      <c r="X344" s="7">
        <f>(IF(B344&gt;'Retirement Planning'!$J$34,IF('Retirement Planning'!$J$34=70,'Retirement Planning'!$J$37/12,IF('Retirement Planning'!$J$34=67,'Retirement Planning'!$J$36/12,'Retirement Planning'!$J$35/12)),0))*'Retirement Planning'!$J$38</f>
        <v>1213.6000000000001</v>
      </c>
      <c r="Y344" s="7">
        <f ca="1">'Retirement Planning'!$F$35*((1+'Retirement Planning'!$J$24)^(YEAR('Projected Retirement Drawdown'!C344)-YEAR(TODAY())))</f>
        <v>13142.702076047317</v>
      </c>
      <c r="Z344" s="7">
        <f ca="1">G344+M344+O344+0.85*X344+V344*'Retirement Planning'!$J$46+T344</f>
        <v>14458.423067923017</v>
      </c>
      <c r="AA344" s="7">
        <f ca="1">IF(MONTH(C344)=1,(((MIN(MAX(0,((SUM(Z332:Z343)-'Retirement Planning'!$I$53-'Retirement Planning'!$I$54)-'Retirement Planning'!$J$51)*'Retirement Planning'!$I$52))))+(MIN(MAX(0,((SUM(Z332:Z343)-'Retirement Planning'!$I$53-'Retirement Planning'!$I$54)-'Retirement Planning'!$J$50)*'Retirement Planning'!$I$51),('Retirement Planning'!$J$51-'Retirement Planning'!$J$50)*'Retirement Planning'!$I$51))+(MIN(MAX(0,((SUM(Z332:Z343)-'Retirement Planning'!$I$53-'Retirement Planning'!$I$54)-'Retirement Planning'!$J$49)*'Retirement Planning'!$I$50),('Retirement Planning'!$J$50-'Retirement Planning'!$J$49)*'Retirement Planning'!$I$50)+MIN(MAX(0,((SUM(Z332:Z343)-'Retirement Planning'!$I$53-'Retirement Planning'!$I$54)-'Retirement Planning'!$J$48)*'Retirement Planning'!$I$49),('Retirement Planning'!$J$49-'Retirement Planning'!$J$48)*'Retirement Planning'!$I$49)+MIN(((SUM(Z332:Z343)-'Retirement Planning'!$I$53-'Retirement Planning'!$I$54))*'Retirement Planning'!$I$48,('Retirement Planning'!$J$48)*'Retirement Planning'!$I$48))+(IF((SUM(Z332:Z343)-'Retirement Planning'!$I$54-'Retirement Planning'!$I$61)&gt;'Retirement Planning'!$J$59,(SUM(Z332:Z343)-'Retirement Planning'!$I$54-'Retirement Planning'!$I$61-'Retirement Planning'!$J$59)*'Retirement Planning'!$I$60+'Retirement Planning'!$K$59,IF((SUM(Z332:Z343)-'Retirement Planning'!$I$54-'Retirement Planning'!$I$61)&gt;'Retirement Planning'!$J$58,(SUM(Z332:Z343)-'Retirement Planning'!$I$54-'Retirement Planning'!$I$61-'Retirement Planning'!$J$58)*'Retirement Planning'!$I$59+'Retirement Planning'!$K$58,IF((SUM(Z332:Z343)-'Retirement Planning'!$I$54-'Retirement Planning'!$I$61)&gt;'Retirement Planning'!$J$57,(SUM(Z332:Z343)-'Retirement Planning'!$I$54-'Retirement Planning'!$I$61-'Retirement Planning'!$J$57)*'Retirement Planning'!$I$58+'Retirement Planning'!$K$57,IF((SUM(Z332:Z343)-'Retirement Planning'!$I$54-'Retirement Planning'!$I$61)&gt;'Retirement Planning'!$J$56,(SUM(Z332:Z343)-'Retirement Planning'!$I$54-'Retirement Planning'!$I$61-'Retirement Planning'!$J$56)*'Retirement Planning'!$I$57+'Retirement Planning'!$K$56,(SUM(Z332:Z343)-'Retirement Planning'!$I$54-'Retirement Planning'!$I$61)*'Retirement Planning'!$I$56))))))/12,AA343)</f>
        <v>3602.7160148501066</v>
      </c>
      <c r="AB344" s="104">
        <f t="shared" ca="1" si="134"/>
        <v>0.25850977728616847</v>
      </c>
      <c r="AC344" s="7">
        <f>IF(B344&lt;65,'Retirement Planning'!$J$28,0)</f>
        <v>0</v>
      </c>
      <c r="AD344" s="7">
        <f>IF(B344&lt;65,'Retirement Planning'!$J$29/12,0)</f>
        <v>0</v>
      </c>
      <c r="AE344" s="22">
        <f>'Retirement Planning'!$J$31/12</f>
        <v>58.333333333333336</v>
      </c>
      <c r="AF344" s="22">
        <f>'Retirement Planning'!$J$32/12</f>
        <v>66.666666666666671</v>
      </c>
      <c r="AG344" s="7">
        <f>IF($B344&gt;64.9,'Retirement Planning'!$J$39/12,0)</f>
        <v>183.33333333333334</v>
      </c>
      <c r="AH344" s="7">
        <f>IF($B344&gt;64.9,'Retirement Planning'!$J$40/12,0)</f>
        <v>258.33333333333331</v>
      </c>
      <c r="AI344" s="7">
        <f>IF($B344&gt;64.9,'Retirement Planning'!$J$41/12,0)</f>
        <v>558.33333333333337</v>
      </c>
      <c r="AJ344" s="7">
        <f t="shared" ca="1" si="144"/>
        <v>316.66666666666663</v>
      </c>
      <c r="AK344" s="3" t="str">
        <f t="shared" ca="1" si="145"/>
        <v>N/A</v>
      </c>
      <c r="AL344" s="6" t="str">
        <f t="shared" ca="1" si="146"/>
        <v>N/A</v>
      </c>
      <c r="AM344" s="7">
        <f t="shared" ca="1" si="147"/>
        <v>-2.5011104298755527E-12</v>
      </c>
      <c r="AN344" s="7">
        <f t="shared" ca="1" si="148"/>
        <v>17870.418090897423</v>
      </c>
      <c r="AO344" s="7">
        <f t="shared" si="149"/>
        <v>1125</v>
      </c>
    </row>
    <row r="345" spans="1:41" x14ac:dyDescent="0.2">
      <c r="A345">
        <f t="shared" si="150"/>
        <v>50</v>
      </c>
      <c r="B345" s="5">
        <f t="shared" si="151"/>
        <v>84.2</v>
      </c>
      <c r="C345" s="56">
        <f t="shared" si="152"/>
        <v>56615</v>
      </c>
      <c r="D345" s="57">
        <f ca="1">IF(AND(B344&lt;59.5,OR(B345&gt;59.5,B345=59.5)),(D344-E344+J344-K344)*(1+'Retirement Planning'!$J$23/12),(D344-E344)*(1+'Retirement Planning'!$J$23/12))</f>
        <v>796051.22315091721</v>
      </c>
      <c r="E345" s="58">
        <f t="shared" ca="1" si="139"/>
        <v>1815.1909935401436</v>
      </c>
      <c r="F345" s="57">
        <f ca="1">IF(AND(OR(B345&gt;59.5,B345=59.5),B344&lt;59.5),(F344-G344+L344-M344+N344-O344)*(1+'Retirement Planning'!$J$23/12),(F344-G344)*(1+'Retirement Planning'!$J$23/12))</f>
        <v>1292454.1018396057</v>
      </c>
      <c r="G345" s="58">
        <f ca="1">IF(AND($B$10&lt;55,B345&lt;59.5),'Retirement Planning'!$J$25,IF(OR(B345&gt;59.5,B345=59.5),MAX(0,MIN(F345,IF(D345&lt;2500,((Y345+AJ345+AA345))-X345,((Y345+AJ345+AA345)*'Retirement Planning'!$J$44)-X345))),0))</f>
        <v>13116.855212159009</v>
      </c>
      <c r="H345" s="255">
        <f ca="1">IF(MONTH(C345)=1,IF(B345&gt;69.5,F345/(INDEX('Retirement Planning'!D$1:D$264,(160+INT(B345))))/12,0),IF(F345=0,0,H344))</f>
        <v>12523.780056585327</v>
      </c>
      <c r="I345" s="262">
        <f t="shared" ca="1" si="140"/>
        <v>0</v>
      </c>
      <c r="J345" s="254">
        <f ca="1">IF(AND(B344&lt;59.5,OR(B345=59.5,B345&gt;59.5)),0,(J344-K344)*(1+'Retirement Planning'!$J$23/12))</f>
        <v>0</v>
      </c>
      <c r="K345" s="58">
        <f t="shared" ca="1" si="141"/>
        <v>0</v>
      </c>
      <c r="L345" s="57">
        <f>IF(AND(OR(B345&gt;59.5,B345=59.5),B344&lt;59.5),0,(L344-M344)*(1+'Retirement Planning'!$J$23/12))</f>
        <v>0</v>
      </c>
      <c r="M345" s="59">
        <f>IF(AND($B$10&lt;55,B345&lt;59.5),0,IF(B345&lt;59.5,MAX(0,MIN((($Y345+$AJ345+AA345)*'Retirement Planning'!$J$44)-$G345-$X345,L345)),0))</f>
        <v>0</v>
      </c>
      <c r="N345" s="57">
        <f ca="1">(N344-O344)*(1+'Retirement Planning'!$J$23/12)</f>
        <v>0</v>
      </c>
      <c r="O345" s="59">
        <f ca="1">IF(B345&gt;59.5,MAX(0,MIN((AA345+$Y345+$AJ345)*(IF(D345&lt;(MIN(E333:E344)+1),1,'Retirement Planning'!$J$44))-M345-$G345-$X345-(IF(D345&lt;(MIN(E333:E344)+1),D345,0)),N345)),0)</f>
        <v>0</v>
      </c>
      <c r="P345" s="57">
        <f t="shared" si="153"/>
        <v>0</v>
      </c>
      <c r="Q345" s="58">
        <f t="shared" si="154"/>
        <v>0</v>
      </c>
      <c r="R345" s="57">
        <f ca="1">(R344-S344-T344)*(1+'Retirement Planning'!$J$23/12)</f>
        <v>1051776.2851187848</v>
      </c>
      <c r="S345" s="58">
        <f t="shared" ca="1" si="155"/>
        <v>808.33333333333337</v>
      </c>
      <c r="T345" s="273">
        <f t="shared" ca="1" si="142"/>
        <v>-9.0949470177292824E-13</v>
      </c>
      <c r="U345" s="57">
        <f ca="1">(U344-V344)*(1+'Retirement Planning'!$J$23/12)</f>
        <v>651662.08492834831</v>
      </c>
      <c r="V345" s="24">
        <f ca="1">IF(AND($B$10&lt;55,B345&lt;59.5),MIN(U345,MAX(0,(Y345+AA345+AJ345-G345)*'Retirement Planning'!$J$45)),IF(B345&lt;59.5,(MIN(U345,MAX(0,((Y345+AA345+AJ345)-G345-M345)*'Retirement Planning'!$J$45))),MIN(U345,MAX(0,(Y345+AA345+AJ345-G345-M345-K345-X345)*'Retirement Planning'!$J$45))))</f>
        <v>1546.2738093119731</v>
      </c>
      <c r="W345" s="7">
        <f t="shared" ca="1" si="143"/>
        <v>3791943.695037656</v>
      </c>
      <c r="X345" s="7">
        <f>(IF(B345&gt;'Retirement Planning'!$J$34,IF('Retirement Planning'!$J$34=70,'Retirement Planning'!$J$37/12,IF('Retirement Planning'!$J$34=67,'Retirement Planning'!$J$36/12,'Retirement Planning'!$J$35/12)),0))*'Retirement Planning'!$J$38</f>
        <v>1213.6000000000001</v>
      </c>
      <c r="Y345" s="7">
        <f ca="1">'Retirement Planning'!$F$35*((1+'Retirement Planning'!$J$24)^(YEAR('Projected Retirement Drawdown'!C345)-YEAR(TODAY())))</f>
        <v>13602.69664870897</v>
      </c>
      <c r="Z345" s="7">
        <f ca="1">G345+M345+O345+0.85*X345+V345*'Retirement Planning'!$J$46+T345</f>
        <v>14998.865807280592</v>
      </c>
      <c r="AA345" s="7">
        <f ca="1">IF(MONTH(C345)=1,(((MIN(MAX(0,((SUM(Z333:Z344)-'Retirement Planning'!$I$53-'Retirement Planning'!$I$54)-'Retirement Planning'!$J$51)*'Retirement Planning'!$I$52))))+(MIN(MAX(0,((SUM(Z333:Z344)-'Retirement Planning'!$I$53-'Retirement Planning'!$I$54)-'Retirement Planning'!$J$50)*'Retirement Planning'!$I$51),('Retirement Planning'!$J$51-'Retirement Planning'!$J$50)*'Retirement Planning'!$I$51))+(MIN(MAX(0,((SUM(Z333:Z344)-'Retirement Planning'!$I$53-'Retirement Planning'!$I$54)-'Retirement Planning'!$J$49)*'Retirement Planning'!$I$50),('Retirement Planning'!$J$50-'Retirement Planning'!$J$49)*'Retirement Planning'!$I$50)+MIN(MAX(0,((SUM(Z333:Z344)-'Retirement Planning'!$I$53-'Retirement Planning'!$I$54)-'Retirement Planning'!$J$48)*'Retirement Planning'!$I$49),('Retirement Planning'!$J$49-'Retirement Planning'!$J$48)*'Retirement Planning'!$I$49)+MIN(((SUM(Z333:Z344)-'Retirement Planning'!$I$53-'Retirement Planning'!$I$54))*'Retirement Planning'!$I$48,('Retirement Planning'!$J$48)*'Retirement Planning'!$I$48))+(IF((SUM(Z333:Z344)-'Retirement Planning'!$I$54-'Retirement Planning'!$I$61)&gt;'Retirement Planning'!$J$59,(SUM(Z333:Z344)-'Retirement Planning'!$I$54-'Retirement Planning'!$I$61-'Retirement Planning'!$J$59)*'Retirement Planning'!$I$60+'Retirement Planning'!$K$59,IF((SUM(Z333:Z344)-'Retirement Planning'!$I$54-'Retirement Planning'!$I$61)&gt;'Retirement Planning'!$J$58,(SUM(Z333:Z344)-'Retirement Planning'!$I$54-'Retirement Planning'!$I$61-'Retirement Planning'!$J$58)*'Retirement Planning'!$I$59+'Retirement Planning'!$K$58,IF((SUM(Z333:Z344)-'Retirement Planning'!$I$54-'Retirement Planning'!$I$61)&gt;'Retirement Planning'!$J$57,(SUM(Z333:Z344)-'Retirement Planning'!$I$54-'Retirement Planning'!$I$61-'Retirement Planning'!$J$57)*'Retirement Planning'!$I$58+'Retirement Planning'!$K$57,IF((SUM(Z333:Z344)-'Retirement Planning'!$I$54-'Retirement Planning'!$I$61)&gt;'Retirement Planning'!$J$56,(SUM(Z333:Z344)-'Retirement Planning'!$I$54-'Retirement Planning'!$I$61-'Retirement Planning'!$J$56)*'Retirement Planning'!$I$57+'Retirement Planning'!$K$56,(SUM(Z333:Z344)-'Retirement Planning'!$I$54-'Retirement Planning'!$I$61)*'Retirement Planning'!$I$56))))))/12,AA344)</f>
        <v>3772.5566996354846</v>
      </c>
      <c r="AB345" s="104">
        <f t="shared" ref="AB345" ca="1" si="158">SUM(AA345:AA356)/SUM(Z333:Z344)</f>
        <v>0.26092449238154836</v>
      </c>
      <c r="AC345" s="7">
        <f>IF(B345&lt;65,'Retirement Planning'!$J$28,0)</f>
        <v>0</v>
      </c>
      <c r="AD345" s="7">
        <f>IF(B345&lt;65,'Retirement Planning'!$J$29/12,0)</f>
        <v>0</v>
      </c>
      <c r="AE345" s="22">
        <f>'Retirement Planning'!$J$31/12</f>
        <v>58.333333333333336</v>
      </c>
      <c r="AF345" s="22">
        <f>'Retirement Planning'!$J$32/12</f>
        <v>66.666666666666671</v>
      </c>
      <c r="AG345" s="7">
        <f>IF($B345&gt;64.9,'Retirement Planning'!$J$39/12,0)</f>
        <v>183.33333333333334</v>
      </c>
      <c r="AH345" s="7">
        <f>IF($B345&gt;64.9,'Retirement Planning'!$J$40/12,0)</f>
        <v>258.33333333333331</v>
      </c>
      <c r="AI345" s="7">
        <f>IF($B345&gt;64.9,'Retirement Planning'!$J$41/12,0)</f>
        <v>558.33333333333337</v>
      </c>
      <c r="AJ345" s="7">
        <f t="shared" ca="1" si="144"/>
        <v>316.66666666666663</v>
      </c>
      <c r="AK345" s="3" t="str">
        <f t="shared" ca="1" si="145"/>
        <v>N/A</v>
      </c>
      <c r="AL345" s="6" t="str">
        <f t="shared" ca="1" si="146"/>
        <v>N/A</v>
      </c>
      <c r="AM345" s="7">
        <f t="shared" ca="1" si="147"/>
        <v>-2.5011104298755527E-12</v>
      </c>
      <c r="AN345" s="7">
        <f t="shared" ca="1" si="148"/>
        <v>18500.253348344457</v>
      </c>
      <c r="AO345" s="7">
        <f t="shared" si="149"/>
        <v>1125</v>
      </c>
    </row>
    <row r="346" spans="1:41" x14ac:dyDescent="0.2">
      <c r="A346">
        <f t="shared" si="150"/>
        <v>50</v>
      </c>
      <c r="B346" s="5">
        <f t="shared" si="151"/>
        <v>84.3</v>
      </c>
      <c r="C346" s="56">
        <f t="shared" si="152"/>
        <v>56646</v>
      </c>
      <c r="D346" s="57">
        <f ca="1">IF(AND(B345&lt;59.5,OR(B346&gt;59.5,B346=59.5)),(D345-E345+J345-K345)*(1+'Retirement Planning'!$J$23/12),(D345-E345)*(1+'Retirement Planning'!$J$23/12))</f>
        <v>799861.87071849185</v>
      </c>
      <c r="E346" s="58">
        <f t="shared" ca="1" si="139"/>
        <v>1815.1909935401436</v>
      </c>
      <c r="F346" s="57">
        <f ca="1">IF(AND(OR(B346&gt;59.5,B346=59.5),B345&lt;59.5),(F345-G345+L345-M345+N345-O345)*(1+'Retirement Planning'!$J$23/12),(F345-G345)*(1+'Retirement Planning'!$J$23/12))</f>
        <v>1288399.2187910578</v>
      </c>
      <c r="G346" s="58">
        <f ca="1">IF(AND($B$10&lt;55,B346&lt;59.5),'Retirement Planning'!$J$25,IF(OR(B346&gt;59.5,B346=59.5),MAX(0,MIN(F346,IF(D346&lt;2500,((Y346+AJ346+AA346))-X346,((Y346+AJ346+AA346)*'Retirement Planning'!$J$44)-X346))),0))</f>
        <v>13116.855212159009</v>
      </c>
      <c r="H346" s="255">
        <f ca="1">IF(MONTH(C346)=1,IF(B346&gt;69.5,F346/(INDEX('Retirement Planning'!D$1:D$264,(160+INT(B346))))/12,0),IF(F346=0,0,H345))</f>
        <v>12523.780056585327</v>
      </c>
      <c r="I346" s="262">
        <f t="shared" ca="1" si="140"/>
        <v>0</v>
      </c>
      <c r="J346" s="254">
        <f ca="1">IF(AND(B345&lt;59.5,OR(B346=59.5,B346&gt;59.5)),0,(J345-K345)*(1+'Retirement Planning'!$J$23/12))</f>
        <v>0</v>
      </c>
      <c r="K346" s="58">
        <f t="shared" ca="1" si="141"/>
        <v>0</v>
      </c>
      <c r="L346" s="57">
        <f>IF(AND(OR(B346&gt;59.5,B346=59.5),B345&lt;59.5),0,(L345-M345)*(1+'Retirement Planning'!$J$23/12))</f>
        <v>0</v>
      </c>
      <c r="M346" s="59">
        <f>IF(AND($B$10&lt;55,B346&lt;59.5),0,IF(B346&lt;59.5,MAX(0,MIN((($Y346+$AJ346+AA346)*'Retirement Planning'!$J$44)-$G346-$X346,L346)),0))</f>
        <v>0</v>
      </c>
      <c r="N346" s="57">
        <f ca="1">(N345-O345)*(1+'Retirement Planning'!$J$23/12)</f>
        <v>0</v>
      </c>
      <c r="O346" s="59">
        <f ca="1">IF(B346&gt;59.5,MAX(0,MIN((AA346+$Y346+$AJ346)*(IF(D346&lt;(MIN(E334:E345)+1),1,'Retirement Planning'!$J$44))-M346-$G346-$X346-(IF(D346&lt;(MIN(E334:E345)+1),D346,0)),N346)),0)</f>
        <v>0</v>
      </c>
      <c r="P346" s="57">
        <f t="shared" si="153"/>
        <v>0</v>
      </c>
      <c r="Q346" s="58">
        <f t="shared" si="154"/>
        <v>0</v>
      </c>
      <c r="R346" s="57">
        <f ca="1">(R345-S345-T345)*(1+'Retirement Planning'!$J$23/12)</f>
        <v>1058412.3081105985</v>
      </c>
      <c r="S346" s="58">
        <f t="shared" ca="1" si="155"/>
        <v>808.33333333333337</v>
      </c>
      <c r="T346" s="273">
        <f t="shared" ca="1" si="142"/>
        <v>-9.0949470177292824E-13</v>
      </c>
      <c r="U346" s="57">
        <f ca="1">(U345-V345)*(1+'Retirement Planning'!$J$23/12)</f>
        <v>654720.79811446276</v>
      </c>
      <c r="V346" s="24">
        <f ca="1">IF(AND($B$10&lt;55,B346&lt;59.5),MIN(U346,MAX(0,(Y346+AA346+AJ346-G346)*'Retirement Planning'!$J$45)),IF(B346&lt;59.5,(MIN(U346,MAX(0,((Y346+AA346+AJ346)-G346-M346)*'Retirement Planning'!$J$45))),MIN(U346,MAX(0,(Y346+AA346+AJ346-G346-M346-K346-X346)*'Retirement Planning'!$J$45))))</f>
        <v>1546.2738093119731</v>
      </c>
      <c r="W346" s="7">
        <f t="shared" ca="1" si="143"/>
        <v>3801394.1957346108</v>
      </c>
      <c r="X346" s="7">
        <f>(IF(B346&gt;'Retirement Planning'!$J$34,IF('Retirement Planning'!$J$34=70,'Retirement Planning'!$J$37/12,IF('Retirement Planning'!$J$34=67,'Retirement Planning'!$J$36/12,'Retirement Planning'!$J$35/12)),0))*'Retirement Planning'!$J$38</f>
        <v>1213.6000000000001</v>
      </c>
      <c r="Y346" s="7">
        <f ca="1">'Retirement Planning'!$F$35*((1+'Retirement Planning'!$J$24)^(YEAR('Projected Retirement Drawdown'!C346)-YEAR(TODAY())))</f>
        <v>13602.69664870897</v>
      </c>
      <c r="Z346" s="7">
        <f ca="1">G346+M346+O346+0.85*X346+V346*'Retirement Planning'!$J$46+T346</f>
        <v>14998.865807280592</v>
      </c>
      <c r="AA346" s="7">
        <f ca="1">IF(MONTH(C346)=1,(((MIN(MAX(0,((SUM(Z334:Z345)-'Retirement Planning'!$I$53-'Retirement Planning'!$I$54)-'Retirement Planning'!$J$51)*'Retirement Planning'!$I$52))))+(MIN(MAX(0,((SUM(Z334:Z345)-'Retirement Planning'!$I$53-'Retirement Planning'!$I$54)-'Retirement Planning'!$J$50)*'Retirement Planning'!$I$51),('Retirement Planning'!$J$51-'Retirement Planning'!$J$50)*'Retirement Planning'!$I$51))+(MIN(MAX(0,((SUM(Z334:Z345)-'Retirement Planning'!$I$53-'Retirement Planning'!$I$54)-'Retirement Planning'!$J$49)*'Retirement Planning'!$I$50),('Retirement Planning'!$J$50-'Retirement Planning'!$J$49)*'Retirement Planning'!$I$50)+MIN(MAX(0,((SUM(Z334:Z345)-'Retirement Planning'!$I$53-'Retirement Planning'!$I$54)-'Retirement Planning'!$J$48)*'Retirement Planning'!$I$49),('Retirement Planning'!$J$49-'Retirement Planning'!$J$48)*'Retirement Planning'!$I$49)+MIN(((SUM(Z334:Z345)-'Retirement Planning'!$I$53-'Retirement Planning'!$I$54))*'Retirement Planning'!$I$48,('Retirement Planning'!$J$48)*'Retirement Planning'!$I$48))+(IF((SUM(Z334:Z345)-'Retirement Planning'!$I$54-'Retirement Planning'!$I$61)&gt;'Retirement Planning'!$J$59,(SUM(Z334:Z345)-'Retirement Planning'!$I$54-'Retirement Planning'!$I$61-'Retirement Planning'!$J$59)*'Retirement Planning'!$I$60+'Retirement Planning'!$K$59,IF((SUM(Z334:Z345)-'Retirement Planning'!$I$54-'Retirement Planning'!$I$61)&gt;'Retirement Planning'!$J$58,(SUM(Z334:Z345)-'Retirement Planning'!$I$54-'Retirement Planning'!$I$61-'Retirement Planning'!$J$58)*'Retirement Planning'!$I$59+'Retirement Planning'!$K$58,IF((SUM(Z334:Z345)-'Retirement Planning'!$I$54-'Retirement Planning'!$I$61)&gt;'Retirement Planning'!$J$57,(SUM(Z334:Z345)-'Retirement Planning'!$I$54-'Retirement Planning'!$I$61-'Retirement Planning'!$J$57)*'Retirement Planning'!$I$58+'Retirement Planning'!$K$57,IF((SUM(Z334:Z345)-'Retirement Planning'!$I$54-'Retirement Planning'!$I$61)&gt;'Retirement Planning'!$J$56,(SUM(Z334:Z345)-'Retirement Planning'!$I$54-'Retirement Planning'!$I$61-'Retirement Planning'!$J$56)*'Retirement Planning'!$I$57+'Retirement Planning'!$K$56,(SUM(Z334:Z345)-'Retirement Planning'!$I$54-'Retirement Planning'!$I$61)*'Retirement Planning'!$I$56))))))/12,AA345)</f>
        <v>3772.5566996354846</v>
      </c>
      <c r="AB346" s="104">
        <f t="shared" ref="AB346:AB377" ca="1" si="159">AB345</f>
        <v>0.26092449238154836</v>
      </c>
      <c r="AC346" s="7">
        <f>IF(B346&lt;65,'Retirement Planning'!$J$28,0)</f>
        <v>0</v>
      </c>
      <c r="AD346" s="7">
        <f>IF(B346&lt;65,'Retirement Planning'!$J$29/12,0)</f>
        <v>0</v>
      </c>
      <c r="AE346" s="22">
        <f>'Retirement Planning'!$J$31/12</f>
        <v>58.333333333333336</v>
      </c>
      <c r="AF346" s="22">
        <f>'Retirement Planning'!$J$32/12</f>
        <v>66.666666666666671</v>
      </c>
      <c r="AG346" s="7">
        <f>IF($B346&gt;64.9,'Retirement Planning'!$J$39/12,0)</f>
        <v>183.33333333333334</v>
      </c>
      <c r="AH346" s="7">
        <f>IF($B346&gt;64.9,'Retirement Planning'!$J$40/12,0)</f>
        <v>258.33333333333331</v>
      </c>
      <c r="AI346" s="7">
        <f>IF($B346&gt;64.9,'Retirement Planning'!$J$41/12,0)</f>
        <v>558.33333333333337</v>
      </c>
      <c r="AJ346" s="7">
        <f t="shared" ca="1" si="144"/>
        <v>316.66666666666663</v>
      </c>
      <c r="AK346" s="3" t="str">
        <f t="shared" ca="1" si="145"/>
        <v>N/A</v>
      </c>
      <c r="AL346" s="6" t="str">
        <f t="shared" ca="1" si="146"/>
        <v>N/A</v>
      </c>
      <c r="AM346" s="7">
        <f t="shared" ca="1" si="147"/>
        <v>-2.5011104298755527E-12</v>
      </c>
      <c r="AN346" s="7">
        <f t="shared" ca="1" si="148"/>
        <v>18500.253348344457</v>
      </c>
      <c r="AO346" s="7">
        <f t="shared" si="149"/>
        <v>1125</v>
      </c>
    </row>
    <row r="347" spans="1:41" x14ac:dyDescent="0.2">
      <c r="A347">
        <f t="shared" si="150"/>
        <v>50</v>
      </c>
      <c r="B347" s="5">
        <f t="shared" si="151"/>
        <v>84.4</v>
      </c>
      <c r="C347" s="56">
        <f t="shared" si="152"/>
        <v>56674</v>
      </c>
      <c r="D347" s="57">
        <f ca="1">IF(AND(B346&lt;59.5,OR(B347&gt;59.5,B347=59.5)),(D346-E346+J346-K346)*(1+'Retirement Planning'!$J$23/12),(D346-E346)*(1+'Retirement Planning'!$J$23/12))</f>
        <v>803699.51037300343</v>
      </c>
      <c r="E347" s="58">
        <f t="shared" ca="1" si="139"/>
        <v>1815.1909935401436</v>
      </c>
      <c r="F347" s="57">
        <f ca="1">IF(AND(OR(B347&gt;59.5,B347=59.5),B346&lt;59.5),(F346-G346+L346-M346+N346-O346)*(1+'Retirement Planning'!$J$23/12),(F346-G346)*(1+'Retirement Planning'!$J$23/12))</f>
        <v>1284315.6136542493</v>
      </c>
      <c r="G347" s="58">
        <f ca="1">IF(AND($B$10&lt;55,B347&lt;59.5),'Retirement Planning'!$J$25,IF(OR(B347&gt;59.5,B347=59.5),MAX(0,MIN(F347,IF(D347&lt;2500,((Y347+AJ347+AA347))-X347,((Y347+AJ347+AA347)*'Retirement Planning'!$J$44)-X347))),0))</f>
        <v>13116.855212159009</v>
      </c>
      <c r="H347" s="255">
        <f ca="1">IF(MONTH(C347)=1,IF(B347&gt;69.5,F347/(INDEX('Retirement Planning'!D$1:D$264,(160+INT(B347))))/12,0),IF(F347=0,0,H346))</f>
        <v>12523.780056585327</v>
      </c>
      <c r="I347" s="262">
        <f t="shared" ca="1" si="140"/>
        <v>0</v>
      </c>
      <c r="J347" s="254">
        <f ca="1">IF(AND(B346&lt;59.5,OR(B347=59.5,B347&gt;59.5)),0,(J346-K346)*(1+'Retirement Planning'!$J$23/12))</f>
        <v>0</v>
      </c>
      <c r="K347" s="58">
        <f t="shared" ca="1" si="141"/>
        <v>0</v>
      </c>
      <c r="L347" s="57">
        <f>IF(AND(OR(B347&gt;59.5,B347=59.5),B346&lt;59.5),0,(L346-M346)*(1+'Retirement Planning'!$J$23/12))</f>
        <v>0</v>
      </c>
      <c r="M347" s="59">
        <f>IF(AND($B$10&lt;55,B347&lt;59.5),0,IF(B347&lt;59.5,MAX(0,MIN((($Y347+$AJ347+AA347)*'Retirement Planning'!$J$44)-$G347-$X347,L347)),0))</f>
        <v>0</v>
      </c>
      <c r="N347" s="57">
        <f ca="1">(N346-O346)*(1+'Retirement Planning'!$J$23/12)</f>
        <v>0</v>
      </c>
      <c r="O347" s="59">
        <f ca="1">IF(B347&gt;59.5,MAX(0,MIN((AA347+$Y347+$AJ347)*(IF(D347&lt;(MIN(E335:E346)+1),1,'Retirement Planning'!$J$44))-M347-$G347-$X347-(IF(D347&lt;(MIN(E335:E346)+1),D347,0)),N347)),0)</f>
        <v>0</v>
      </c>
      <c r="P347" s="57">
        <f t="shared" si="153"/>
        <v>0</v>
      </c>
      <c r="Q347" s="58">
        <f t="shared" si="154"/>
        <v>0</v>
      </c>
      <c r="R347" s="57">
        <f ca="1">(R346-S346-T346)*(1+'Retirement Planning'!$J$23/12)</f>
        <v>1065095.3362652708</v>
      </c>
      <c r="S347" s="58">
        <f t="shared" ca="1" si="155"/>
        <v>808.33333333333337</v>
      </c>
      <c r="T347" s="273">
        <f t="shared" ca="1" si="142"/>
        <v>-9.0949470177292824E-13</v>
      </c>
      <c r="U347" s="57">
        <f ca="1">(U346-V346)*(1+'Retirement Planning'!$J$23/12)</f>
        <v>657801.17718564556</v>
      </c>
      <c r="V347" s="24">
        <f ca="1">IF(AND($B$10&lt;55,B347&lt;59.5),MIN(U347,MAX(0,(Y347+AA347+AJ347-G347)*'Retirement Planning'!$J$45)),IF(B347&lt;59.5,(MIN(U347,MAX(0,((Y347+AA347+AJ347)-G347-M347)*'Retirement Planning'!$J$45))),MIN(U347,MAX(0,(Y347+AA347+AJ347-G347-M347-K347-X347)*'Retirement Planning'!$J$45))))</f>
        <v>1546.2738093119731</v>
      </c>
      <c r="W347" s="7">
        <f t="shared" ca="1" si="143"/>
        <v>3810911.6374781691</v>
      </c>
      <c r="X347" s="7">
        <f>(IF(B347&gt;'Retirement Planning'!$J$34,IF('Retirement Planning'!$J$34=70,'Retirement Planning'!$J$37/12,IF('Retirement Planning'!$J$34=67,'Retirement Planning'!$J$36/12,'Retirement Planning'!$J$35/12)),0))*'Retirement Planning'!$J$38</f>
        <v>1213.6000000000001</v>
      </c>
      <c r="Y347" s="7">
        <f ca="1">'Retirement Planning'!$F$35*((1+'Retirement Planning'!$J$24)^(YEAR('Projected Retirement Drawdown'!C347)-YEAR(TODAY())))</f>
        <v>13602.69664870897</v>
      </c>
      <c r="Z347" s="7">
        <f ca="1">G347+M347+O347+0.85*X347+V347*'Retirement Planning'!$J$46+T347</f>
        <v>14998.865807280592</v>
      </c>
      <c r="AA347" s="7">
        <f ca="1">IF(MONTH(C347)=1,(((MIN(MAX(0,((SUM(Z335:Z346)-'Retirement Planning'!$I$53-'Retirement Planning'!$I$54)-'Retirement Planning'!$J$51)*'Retirement Planning'!$I$52))))+(MIN(MAX(0,((SUM(Z335:Z346)-'Retirement Planning'!$I$53-'Retirement Planning'!$I$54)-'Retirement Planning'!$J$50)*'Retirement Planning'!$I$51),('Retirement Planning'!$J$51-'Retirement Planning'!$J$50)*'Retirement Planning'!$I$51))+(MIN(MAX(0,((SUM(Z335:Z346)-'Retirement Planning'!$I$53-'Retirement Planning'!$I$54)-'Retirement Planning'!$J$49)*'Retirement Planning'!$I$50),('Retirement Planning'!$J$50-'Retirement Planning'!$J$49)*'Retirement Planning'!$I$50)+MIN(MAX(0,((SUM(Z335:Z346)-'Retirement Planning'!$I$53-'Retirement Planning'!$I$54)-'Retirement Planning'!$J$48)*'Retirement Planning'!$I$49),('Retirement Planning'!$J$49-'Retirement Planning'!$J$48)*'Retirement Planning'!$I$49)+MIN(((SUM(Z335:Z346)-'Retirement Planning'!$I$53-'Retirement Planning'!$I$54))*'Retirement Planning'!$I$48,('Retirement Planning'!$J$48)*'Retirement Planning'!$I$48))+(IF((SUM(Z335:Z346)-'Retirement Planning'!$I$54-'Retirement Planning'!$I$61)&gt;'Retirement Planning'!$J$59,(SUM(Z335:Z346)-'Retirement Planning'!$I$54-'Retirement Planning'!$I$61-'Retirement Planning'!$J$59)*'Retirement Planning'!$I$60+'Retirement Planning'!$K$59,IF((SUM(Z335:Z346)-'Retirement Planning'!$I$54-'Retirement Planning'!$I$61)&gt;'Retirement Planning'!$J$58,(SUM(Z335:Z346)-'Retirement Planning'!$I$54-'Retirement Planning'!$I$61-'Retirement Planning'!$J$58)*'Retirement Planning'!$I$59+'Retirement Planning'!$K$58,IF((SUM(Z335:Z346)-'Retirement Planning'!$I$54-'Retirement Planning'!$I$61)&gt;'Retirement Planning'!$J$57,(SUM(Z335:Z346)-'Retirement Planning'!$I$54-'Retirement Planning'!$I$61-'Retirement Planning'!$J$57)*'Retirement Planning'!$I$58+'Retirement Planning'!$K$57,IF((SUM(Z335:Z346)-'Retirement Planning'!$I$54-'Retirement Planning'!$I$61)&gt;'Retirement Planning'!$J$56,(SUM(Z335:Z346)-'Retirement Planning'!$I$54-'Retirement Planning'!$I$61-'Retirement Planning'!$J$56)*'Retirement Planning'!$I$57+'Retirement Planning'!$K$56,(SUM(Z335:Z346)-'Retirement Planning'!$I$54-'Retirement Planning'!$I$61)*'Retirement Planning'!$I$56))))))/12,AA346)</f>
        <v>3772.5566996354846</v>
      </c>
      <c r="AB347" s="104">
        <f t="shared" ca="1" si="134"/>
        <v>0.26092449238154836</v>
      </c>
      <c r="AC347" s="7">
        <f>IF(B347&lt;65,'Retirement Planning'!$J$28,0)</f>
        <v>0</v>
      </c>
      <c r="AD347" s="7">
        <f>IF(B347&lt;65,'Retirement Planning'!$J$29/12,0)</f>
        <v>0</v>
      </c>
      <c r="AE347" s="22">
        <f>'Retirement Planning'!$J$31/12</f>
        <v>58.333333333333336</v>
      </c>
      <c r="AF347" s="22">
        <f>'Retirement Planning'!$J$32/12</f>
        <v>66.666666666666671</v>
      </c>
      <c r="AG347" s="7">
        <f>IF($B347&gt;64.9,'Retirement Planning'!$J$39/12,0)</f>
        <v>183.33333333333334</v>
      </c>
      <c r="AH347" s="7">
        <f>IF($B347&gt;64.9,'Retirement Planning'!$J$40/12,0)</f>
        <v>258.33333333333331</v>
      </c>
      <c r="AI347" s="7">
        <f>IF($B347&gt;64.9,'Retirement Planning'!$J$41/12,0)</f>
        <v>558.33333333333337</v>
      </c>
      <c r="AJ347" s="7">
        <f t="shared" ca="1" si="144"/>
        <v>316.66666666666663</v>
      </c>
      <c r="AK347" s="3" t="str">
        <f t="shared" ca="1" si="145"/>
        <v>N/A</v>
      </c>
      <c r="AL347" s="6" t="str">
        <f t="shared" ca="1" si="146"/>
        <v>N/A</v>
      </c>
      <c r="AM347" s="7">
        <f t="shared" ca="1" si="147"/>
        <v>-2.5011104298755527E-12</v>
      </c>
      <c r="AN347" s="7">
        <f t="shared" ca="1" si="148"/>
        <v>18500.253348344457</v>
      </c>
      <c r="AO347" s="7">
        <f t="shared" si="149"/>
        <v>1125</v>
      </c>
    </row>
    <row r="348" spans="1:41" x14ac:dyDescent="0.2">
      <c r="A348">
        <f t="shared" si="150"/>
        <v>50</v>
      </c>
      <c r="B348" s="5">
        <f t="shared" si="151"/>
        <v>84.5</v>
      </c>
      <c r="C348" s="56">
        <f t="shared" si="152"/>
        <v>56705</v>
      </c>
      <c r="D348" s="57">
        <f ca="1">IF(AND(B347&lt;59.5,OR(B348&gt;59.5,B348=59.5)),(D347-E347+J347-K347)*(1+'Retirement Planning'!$J$23/12),(D347-E347)*(1+'Retirement Planning'!$J$23/12))</f>
        <v>807564.33330840117</v>
      </c>
      <c r="E348" s="58">
        <f t="shared" ca="1" si="139"/>
        <v>1815.1909935401436</v>
      </c>
      <c r="F348" s="57">
        <f ca="1">IF(AND(OR(B348&gt;59.5,B348=59.5),B347&lt;59.5),(F347-G347+L347-M347+N347-O347)*(1+'Retirement Planning'!$J$23/12),(F347-G347)*(1+'Retirement Planning'!$J$23/12))</f>
        <v>1280203.0829810551</v>
      </c>
      <c r="G348" s="58">
        <f ca="1">IF(AND($B$10&lt;55,B348&lt;59.5),'Retirement Planning'!$J$25,IF(OR(B348&gt;59.5,B348=59.5),MAX(0,MIN(F348,IF(D348&lt;2500,((Y348+AJ348+AA348))-X348,((Y348+AJ348+AA348)*'Retirement Planning'!$J$44)-X348))),0))</f>
        <v>13116.855212159009</v>
      </c>
      <c r="H348" s="255">
        <f ca="1">IF(MONTH(C348)=1,IF(B348&gt;69.5,F348/(INDEX('Retirement Planning'!D$1:D$264,(160+INT(B348))))/12,0),IF(F348=0,0,H347))</f>
        <v>12523.780056585327</v>
      </c>
      <c r="I348" s="262">
        <f t="shared" ca="1" si="140"/>
        <v>0</v>
      </c>
      <c r="J348" s="254">
        <f ca="1">IF(AND(B347&lt;59.5,OR(B348=59.5,B348&gt;59.5)),0,(J347-K347)*(1+'Retirement Planning'!$J$23/12))</f>
        <v>0</v>
      </c>
      <c r="K348" s="58">
        <f t="shared" ca="1" si="141"/>
        <v>0</v>
      </c>
      <c r="L348" s="57">
        <f>IF(AND(OR(B348&gt;59.5,B348=59.5),B347&lt;59.5),0,(L347-M347)*(1+'Retirement Planning'!$J$23/12))</f>
        <v>0</v>
      </c>
      <c r="M348" s="59">
        <f>IF(AND($B$10&lt;55,B348&lt;59.5),0,IF(B348&lt;59.5,MAX(0,MIN((($Y348+$AJ348+AA348)*'Retirement Planning'!$J$44)-$G348-$X348,L348)),0))</f>
        <v>0</v>
      </c>
      <c r="N348" s="57">
        <f ca="1">(N347-O347)*(1+'Retirement Planning'!$J$23/12)</f>
        <v>0</v>
      </c>
      <c r="O348" s="59">
        <f ca="1">IF(B348&gt;59.5,MAX(0,MIN((AA348+$Y348+$AJ348)*(IF(D348&lt;(MIN(E336:E347)+1),1,'Retirement Planning'!$J$44))-M348-$G348-$X348-(IF(D348&lt;(MIN(E336:E347)+1),D348,0)),N348)),0)</f>
        <v>0</v>
      </c>
      <c r="P348" s="57">
        <f t="shared" si="153"/>
        <v>0</v>
      </c>
      <c r="Q348" s="58">
        <f t="shared" si="154"/>
        <v>0</v>
      </c>
      <c r="R348" s="57">
        <f ca="1">(R347-S347-T347)*(1+'Retirement Planning'!$J$23/12)</f>
        <v>1071825.7025360388</v>
      </c>
      <c r="S348" s="58">
        <f t="shared" ca="1" si="155"/>
        <v>808.33333333333337</v>
      </c>
      <c r="T348" s="273">
        <f t="shared" ca="1" si="142"/>
        <v>-9.0949470177292824E-13</v>
      </c>
      <c r="U348" s="57">
        <f ca="1">(U347-V347)*(1+'Retirement Planning'!$J$23/12)</f>
        <v>660903.37560858252</v>
      </c>
      <c r="V348" s="24">
        <f ca="1">IF(AND($B$10&lt;55,B348&lt;59.5),MIN(U348,MAX(0,(Y348+AA348+AJ348-G348)*'Retirement Planning'!$J$45)),IF(B348&lt;59.5,(MIN(U348,MAX(0,((Y348+AA348+AJ348)-G348-M348)*'Retirement Planning'!$J$45))),MIN(U348,MAX(0,(Y348+AA348+AJ348-G348-M348-K348-X348)*'Retirement Planning'!$J$45))))</f>
        <v>1546.2738093119731</v>
      </c>
      <c r="W348" s="7">
        <f t="shared" ca="1" si="143"/>
        <v>3820496.4944340778</v>
      </c>
      <c r="X348" s="7">
        <f>(IF(B348&gt;'Retirement Planning'!$J$34,IF('Retirement Planning'!$J$34=70,'Retirement Planning'!$J$37/12,IF('Retirement Planning'!$J$34=67,'Retirement Planning'!$J$36/12,'Retirement Planning'!$J$35/12)),0))*'Retirement Planning'!$J$38</f>
        <v>1213.6000000000001</v>
      </c>
      <c r="Y348" s="7">
        <f ca="1">'Retirement Planning'!$F$35*((1+'Retirement Planning'!$J$24)^(YEAR('Projected Retirement Drawdown'!C348)-YEAR(TODAY())))</f>
        <v>13602.69664870897</v>
      </c>
      <c r="Z348" s="7">
        <f ca="1">G348+M348+O348+0.85*X348+V348*'Retirement Planning'!$J$46+T348</f>
        <v>14998.865807280592</v>
      </c>
      <c r="AA348" s="7">
        <f ca="1">IF(MONTH(C348)=1,(((MIN(MAX(0,((SUM(Z336:Z347)-'Retirement Planning'!$I$53-'Retirement Planning'!$I$54)-'Retirement Planning'!$J$51)*'Retirement Planning'!$I$52))))+(MIN(MAX(0,((SUM(Z336:Z347)-'Retirement Planning'!$I$53-'Retirement Planning'!$I$54)-'Retirement Planning'!$J$50)*'Retirement Planning'!$I$51),('Retirement Planning'!$J$51-'Retirement Planning'!$J$50)*'Retirement Planning'!$I$51))+(MIN(MAX(0,((SUM(Z336:Z347)-'Retirement Planning'!$I$53-'Retirement Planning'!$I$54)-'Retirement Planning'!$J$49)*'Retirement Planning'!$I$50),('Retirement Planning'!$J$50-'Retirement Planning'!$J$49)*'Retirement Planning'!$I$50)+MIN(MAX(0,((SUM(Z336:Z347)-'Retirement Planning'!$I$53-'Retirement Planning'!$I$54)-'Retirement Planning'!$J$48)*'Retirement Planning'!$I$49),('Retirement Planning'!$J$49-'Retirement Planning'!$J$48)*'Retirement Planning'!$I$49)+MIN(((SUM(Z336:Z347)-'Retirement Planning'!$I$53-'Retirement Planning'!$I$54))*'Retirement Planning'!$I$48,('Retirement Planning'!$J$48)*'Retirement Planning'!$I$48))+(IF((SUM(Z336:Z347)-'Retirement Planning'!$I$54-'Retirement Planning'!$I$61)&gt;'Retirement Planning'!$J$59,(SUM(Z336:Z347)-'Retirement Planning'!$I$54-'Retirement Planning'!$I$61-'Retirement Planning'!$J$59)*'Retirement Planning'!$I$60+'Retirement Planning'!$K$59,IF((SUM(Z336:Z347)-'Retirement Planning'!$I$54-'Retirement Planning'!$I$61)&gt;'Retirement Planning'!$J$58,(SUM(Z336:Z347)-'Retirement Planning'!$I$54-'Retirement Planning'!$I$61-'Retirement Planning'!$J$58)*'Retirement Planning'!$I$59+'Retirement Planning'!$K$58,IF((SUM(Z336:Z347)-'Retirement Planning'!$I$54-'Retirement Planning'!$I$61)&gt;'Retirement Planning'!$J$57,(SUM(Z336:Z347)-'Retirement Planning'!$I$54-'Retirement Planning'!$I$61-'Retirement Planning'!$J$57)*'Retirement Planning'!$I$58+'Retirement Planning'!$K$57,IF((SUM(Z336:Z347)-'Retirement Planning'!$I$54-'Retirement Planning'!$I$61)&gt;'Retirement Planning'!$J$56,(SUM(Z336:Z347)-'Retirement Planning'!$I$54-'Retirement Planning'!$I$61-'Retirement Planning'!$J$56)*'Retirement Planning'!$I$57+'Retirement Planning'!$K$56,(SUM(Z336:Z347)-'Retirement Planning'!$I$54-'Retirement Planning'!$I$61)*'Retirement Planning'!$I$56))))))/12,AA347)</f>
        <v>3772.5566996354846</v>
      </c>
      <c r="AB348" s="104">
        <f t="shared" ca="1" si="134"/>
        <v>0.26092449238154836</v>
      </c>
      <c r="AC348" s="7">
        <f>IF(B348&lt;65,'Retirement Planning'!$J$28,0)</f>
        <v>0</v>
      </c>
      <c r="AD348" s="7">
        <f>IF(B348&lt;65,'Retirement Planning'!$J$29/12,0)</f>
        <v>0</v>
      </c>
      <c r="AE348" s="22">
        <f>'Retirement Planning'!$J$31/12</f>
        <v>58.333333333333336</v>
      </c>
      <c r="AF348" s="22">
        <f>'Retirement Planning'!$J$32/12</f>
        <v>66.666666666666671</v>
      </c>
      <c r="AG348" s="7">
        <f>IF($B348&gt;64.9,'Retirement Planning'!$J$39/12,0)</f>
        <v>183.33333333333334</v>
      </c>
      <c r="AH348" s="7">
        <f>IF($B348&gt;64.9,'Retirement Planning'!$J$40/12,0)</f>
        <v>258.33333333333331</v>
      </c>
      <c r="AI348" s="7">
        <f>IF($B348&gt;64.9,'Retirement Planning'!$J$41/12,0)</f>
        <v>558.33333333333337</v>
      </c>
      <c r="AJ348" s="7">
        <f t="shared" ca="1" si="144"/>
        <v>316.66666666666663</v>
      </c>
      <c r="AK348" s="3" t="str">
        <f t="shared" ca="1" si="145"/>
        <v>N/A</v>
      </c>
      <c r="AL348" s="6" t="str">
        <f t="shared" ca="1" si="146"/>
        <v>N/A</v>
      </c>
      <c r="AM348" s="7">
        <f t="shared" ca="1" si="147"/>
        <v>-2.5011104298755527E-12</v>
      </c>
      <c r="AN348" s="7">
        <f t="shared" ca="1" si="148"/>
        <v>18500.253348344457</v>
      </c>
      <c r="AO348" s="7">
        <f t="shared" si="149"/>
        <v>1125</v>
      </c>
    </row>
    <row r="349" spans="1:41" x14ac:dyDescent="0.2">
      <c r="A349">
        <f t="shared" si="150"/>
        <v>50</v>
      </c>
      <c r="B349" s="5">
        <f t="shared" si="151"/>
        <v>84.5</v>
      </c>
      <c r="C349" s="56">
        <f t="shared" si="152"/>
        <v>56735</v>
      </c>
      <c r="D349" s="57">
        <f ca="1">IF(AND(B348&lt;59.5,OR(B349&gt;59.5,B349=59.5)),(D348-E348+J348-K348)*(1+'Retirement Planning'!$J$23/12),(D348-E348)*(1+'Retirement Planning'!$J$23/12))</f>
        <v>811456.53207292466</v>
      </c>
      <c r="E349" s="58">
        <f t="shared" ca="1" si="139"/>
        <v>1815.1909935401436</v>
      </c>
      <c r="F349" s="57">
        <f ca="1">IF(AND(OR(B349&gt;59.5,B349=59.5),B348&lt;59.5),(F348-G348+L348-M348+N348-O348)*(1+'Retirement Planning'!$J$23/12),(F348-G348)*(1+'Retirement Planning'!$J$23/12))</f>
        <v>1276061.4218822592</v>
      </c>
      <c r="G349" s="58">
        <f ca="1">IF(AND($B$10&lt;55,B349&lt;59.5),'Retirement Planning'!$J$25,IF(OR(B349&gt;59.5,B349=59.5),MAX(0,MIN(F349,IF(D349&lt;2500,((Y349+AJ349+AA349))-X349,((Y349+AJ349+AA349)*'Retirement Planning'!$J$44)-X349))),0))</f>
        <v>13116.855212159009</v>
      </c>
      <c r="H349" s="255">
        <f ca="1">IF(MONTH(C349)=1,IF(B349&gt;69.5,F349/(INDEX('Retirement Planning'!D$1:D$264,(160+INT(B349))))/12,0),IF(F349=0,0,H348))</f>
        <v>12523.780056585327</v>
      </c>
      <c r="I349" s="262">
        <f t="shared" ca="1" si="140"/>
        <v>0</v>
      </c>
      <c r="J349" s="254">
        <f ca="1">IF(AND(B348&lt;59.5,OR(B349=59.5,B349&gt;59.5)),0,(J348-K348)*(1+'Retirement Planning'!$J$23/12))</f>
        <v>0</v>
      </c>
      <c r="K349" s="58">
        <f t="shared" ca="1" si="141"/>
        <v>0</v>
      </c>
      <c r="L349" s="57">
        <f>IF(AND(OR(B349&gt;59.5,B349=59.5),B348&lt;59.5),0,(L348-M348)*(1+'Retirement Planning'!$J$23/12))</f>
        <v>0</v>
      </c>
      <c r="M349" s="59">
        <f>IF(AND($B$10&lt;55,B349&lt;59.5),0,IF(B349&lt;59.5,MAX(0,MIN((($Y349+$AJ349+AA349)*'Retirement Planning'!$J$44)-$G349-$X349,L349)),0))</f>
        <v>0</v>
      </c>
      <c r="N349" s="57">
        <f ca="1">(N348-O348)*(1+'Retirement Planning'!$J$23/12)</f>
        <v>0</v>
      </c>
      <c r="O349" s="59">
        <f ca="1">IF(B349&gt;59.5,MAX(0,MIN((AA349+$Y349+$AJ349)*(IF(D349&lt;(MIN(E337:E348)+1),1,'Retirement Planning'!$J$44))-M349-$G349-$X349-(IF(D349&lt;(MIN(E337:E348)+1),D349,0)),N349)),0)</f>
        <v>0</v>
      </c>
      <c r="P349" s="57">
        <f t="shared" si="153"/>
        <v>0</v>
      </c>
      <c r="Q349" s="58">
        <f t="shared" si="154"/>
        <v>0</v>
      </c>
      <c r="R349" s="57">
        <f ca="1">(R348-S348-T348)*(1+'Retirement Planning'!$J$23/12)</f>
        <v>1078603.7422345581</v>
      </c>
      <c r="S349" s="58">
        <f t="shared" ca="1" si="155"/>
        <v>808.33333333333337</v>
      </c>
      <c r="T349" s="273">
        <f t="shared" ca="1" si="142"/>
        <v>-9.0949470177292824E-13</v>
      </c>
      <c r="U349" s="57">
        <f ca="1">(U348-V348)*(1+'Retirement Planning'!$J$23/12)</f>
        <v>664027.5479370153</v>
      </c>
      <c r="V349" s="24">
        <f ca="1">IF(AND($B$10&lt;55,B349&lt;59.5),MIN(U349,MAX(0,(Y349+AA349+AJ349-G349)*'Retirement Planning'!$J$45)),IF(B349&lt;59.5,(MIN(U349,MAX(0,((Y349+AA349+AJ349)-G349-M349)*'Retirement Planning'!$J$45))),MIN(U349,MAX(0,(Y349+AA349+AJ349-G349-M349-K349-X349)*'Retirement Planning'!$J$45))))</f>
        <v>1546.2738093119731</v>
      </c>
      <c r="W349" s="7">
        <f t="shared" ca="1" si="143"/>
        <v>3830149.2441267567</v>
      </c>
      <c r="X349" s="7">
        <f>(IF(B349&gt;'Retirement Planning'!$J$34,IF('Retirement Planning'!$J$34=70,'Retirement Planning'!$J$37/12,IF('Retirement Planning'!$J$34=67,'Retirement Planning'!$J$36/12,'Retirement Planning'!$J$35/12)),0))*'Retirement Planning'!$J$38</f>
        <v>1213.6000000000001</v>
      </c>
      <c r="Y349" s="7">
        <f ca="1">'Retirement Planning'!$F$35*((1+'Retirement Planning'!$J$24)^(YEAR('Projected Retirement Drawdown'!C349)-YEAR(TODAY())))</f>
        <v>13602.69664870897</v>
      </c>
      <c r="Z349" s="7">
        <f ca="1">G349+M349+O349+0.85*X349+V349*'Retirement Planning'!$J$46+T349</f>
        <v>14998.865807280592</v>
      </c>
      <c r="AA349" s="7">
        <f ca="1">IF(MONTH(C349)=1,(((MIN(MAX(0,((SUM(Z337:Z348)-'Retirement Planning'!$I$53-'Retirement Planning'!$I$54)-'Retirement Planning'!$J$51)*'Retirement Planning'!$I$52))))+(MIN(MAX(0,((SUM(Z337:Z348)-'Retirement Planning'!$I$53-'Retirement Planning'!$I$54)-'Retirement Planning'!$J$50)*'Retirement Planning'!$I$51),('Retirement Planning'!$J$51-'Retirement Planning'!$J$50)*'Retirement Planning'!$I$51))+(MIN(MAX(0,((SUM(Z337:Z348)-'Retirement Planning'!$I$53-'Retirement Planning'!$I$54)-'Retirement Planning'!$J$49)*'Retirement Planning'!$I$50),('Retirement Planning'!$J$50-'Retirement Planning'!$J$49)*'Retirement Planning'!$I$50)+MIN(MAX(0,((SUM(Z337:Z348)-'Retirement Planning'!$I$53-'Retirement Planning'!$I$54)-'Retirement Planning'!$J$48)*'Retirement Planning'!$I$49),('Retirement Planning'!$J$49-'Retirement Planning'!$J$48)*'Retirement Planning'!$I$49)+MIN(((SUM(Z337:Z348)-'Retirement Planning'!$I$53-'Retirement Planning'!$I$54))*'Retirement Planning'!$I$48,('Retirement Planning'!$J$48)*'Retirement Planning'!$I$48))+(IF((SUM(Z337:Z348)-'Retirement Planning'!$I$54-'Retirement Planning'!$I$61)&gt;'Retirement Planning'!$J$59,(SUM(Z337:Z348)-'Retirement Planning'!$I$54-'Retirement Planning'!$I$61-'Retirement Planning'!$J$59)*'Retirement Planning'!$I$60+'Retirement Planning'!$K$59,IF((SUM(Z337:Z348)-'Retirement Planning'!$I$54-'Retirement Planning'!$I$61)&gt;'Retirement Planning'!$J$58,(SUM(Z337:Z348)-'Retirement Planning'!$I$54-'Retirement Planning'!$I$61-'Retirement Planning'!$J$58)*'Retirement Planning'!$I$59+'Retirement Planning'!$K$58,IF((SUM(Z337:Z348)-'Retirement Planning'!$I$54-'Retirement Planning'!$I$61)&gt;'Retirement Planning'!$J$57,(SUM(Z337:Z348)-'Retirement Planning'!$I$54-'Retirement Planning'!$I$61-'Retirement Planning'!$J$57)*'Retirement Planning'!$I$58+'Retirement Planning'!$K$57,IF((SUM(Z337:Z348)-'Retirement Planning'!$I$54-'Retirement Planning'!$I$61)&gt;'Retirement Planning'!$J$56,(SUM(Z337:Z348)-'Retirement Planning'!$I$54-'Retirement Planning'!$I$61-'Retirement Planning'!$J$56)*'Retirement Planning'!$I$57+'Retirement Planning'!$K$56,(SUM(Z337:Z348)-'Retirement Planning'!$I$54-'Retirement Planning'!$I$61)*'Retirement Planning'!$I$56))))))/12,AA348)</f>
        <v>3772.5566996354846</v>
      </c>
      <c r="AB349" s="104">
        <f t="shared" ca="1" si="134"/>
        <v>0.26092449238154836</v>
      </c>
      <c r="AC349" s="7">
        <f>IF(B349&lt;65,'Retirement Planning'!$J$28,0)</f>
        <v>0</v>
      </c>
      <c r="AD349" s="7">
        <f>IF(B349&lt;65,'Retirement Planning'!$J$29/12,0)</f>
        <v>0</v>
      </c>
      <c r="AE349" s="22">
        <f>'Retirement Planning'!$J$31/12</f>
        <v>58.333333333333336</v>
      </c>
      <c r="AF349" s="22">
        <f>'Retirement Planning'!$J$32/12</f>
        <v>66.666666666666671</v>
      </c>
      <c r="AG349" s="7">
        <f>IF($B349&gt;64.9,'Retirement Planning'!$J$39/12,0)</f>
        <v>183.33333333333334</v>
      </c>
      <c r="AH349" s="7">
        <f>IF($B349&gt;64.9,'Retirement Planning'!$J$40/12,0)</f>
        <v>258.33333333333331</v>
      </c>
      <c r="AI349" s="7">
        <f>IF($B349&gt;64.9,'Retirement Planning'!$J$41/12,0)</f>
        <v>558.33333333333337</v>
      </c>
      <c r="AJ349" s="7">
        <f t="shared" ca="1" si="144"/>
        <v>316.66666666666663</v>
      </c>
      <c r="AK349" s="3" t="str">
        <f t="shared" ca="1" si="145"/>
        <v>N/A</v>
      </c>
      <c r="AL349" s="6" t="str">
        <f t="shared" ca="1" si="146"/>
        <v>N/A</v>
      </c>
      <c r="AM349" s="7">
        <f t="shared" ca="1" si="147"/>
        <v>-2.5011104298755527E-12</v>
      </c>
      <c r="AN349" s="7">
        <f t="shared" ca="1" si="148"/>
        <v>18500.253348344457</v>
      </c>
      <c r="AO349" s="7">
        <f t="shared" si="149"/>
        <v>1125</v>
      </c>
    </row>
    <row r="350" spans="1:41" x14ac:dyDescent="0.2">
      <c r="A350">
        <f t="shared" si="150"/>
        <v>50</v>
      </c>
      <c r="B350" s="5">
        <f t="shared" si="151"/>
        <v>84.6</v>
      </c>
      <c r="C350" s="56">
        <f t="shared" si="152"/>
        <v>56766</v>
      </c>
      <c r="D350" s="57">
        <f ca="1">IF(AND(B349&lt;59.5,OR(B350&gt;59.5,B350=59.5)),(D349-E349+J349-K349)*(1+'Retirement Planning'!$J$23/12),(D349-E349)*(1+'Retirement Planning'!$J$23/12))</f>
        <v>815376.30057869689</v>
      </c>
      <c r="E350" s="58">
        <f t="shared" ca="1" si="139"/>
        <v>1815.1909935401436</v>
      </c>
      <c r="F350" s="57">
        <f ca="1">IF(AND(OR(B350&gt;59.5,B350=59.5),B349&lt;59.5),(F349-G349+L349-M349+N349-O349)*(1+'Retirement Planning'!$J$23/12),(F349-G349)*(1+'Retirement Planning'!$J$23/12))</f>
        <v>1271890.4240173467</v>
      </c>
      <c r="G350" s="58">
        <f ca="1">IF(AND($B$10&lt;55,B350&lt;59.5),'Retirement Planning'!$J$25,IF(OR(B350&gt;59.5,B350=59.5),MAX(0,MIN(F350,IF(D350&lt;2500,((Y350+AJ350+AA350))-X350,((Y350+AJ350+AA350)*'Retirement Planning'!$J$44)-X350))),0))</f>
        <v>13116.855212159009</v>
      </c>
      <c r="H350" s="255">
        <f ca="1">IF(MONTH(C350)=1,IF(B350&gt;69.5,F350/(INDEX('Retirement Planning'!D$1:D$264,(160+INT(B350))))/12,0),IF(F350=0,0,H349))</f>
        <v>12523.780056585327</v>
      </c>
      <c r="I350" s="262">
        <f t="shared" ca="1" si="140"/>
        <v>0</v>
      </c>
      <c r="J350" s="254">
        <f ca="1">IF(AND(B349&lt;59.5,OR(B350=59.5,B350&gt;59.5)),0,(J349-K349)*(1+'Retirement Planning'!$J$23/12))</f>
        <v>0</v>
      </c>
      <c r="K350" s="58">
        <f t="shared" ca="1" si="141"/>
        <v>0</v>
      </c>
      <c r="L350" s="57">
        <f>IF(AND(OR(B350&gt;59.5,B350=59.5),B349&lt;59.5),0,(L349-M349)*(1+'Retirement Planning'!$J$23/12))</f>
        <v>0</v>
      </c>
      <c r="M350" s="59">
        <f>IF(AND($B$10&lt;55,B350&lt;59.5),0,IF(B350&lt;59.5,MAX(0,MIN((($Y350+$AJ350+AA350)*'Retirement Planning'!$J$44)-$G350-$X350,L350)),0))</f>
        <v>0</v>
      </c>
      <c r="N350" s="57">
        <f ca="1">(N349-O349)*(1+'Retirement Planning'!$J$23/12)</f>
        <v>0</v>
      </c>
      <c r="O350" s="59">
        <f ca="1">IF(B350&gt;59.5,MAX(0,MIN((AA350+$Y350+$AJ350)*(IF(D350&lt;(MIN(E338:E349)+1),1,'Retirement Planning'!$J$44))-M350-$G350-$X350-(IF(D350&lt;(MIN(E338:E349)+1),D350,0)),N350)),0)</f>
        <v>0</v>
      </c>
      <c r="P350" s="57">
        <f t="shared" si="153"/>
        <v>0</v>
      </c>
      <c r="Q350" s="58">
        <f t="shared" si="154"/>
        <v>0</v>
      </c>
      <c r="R350" s="57">
        <f ca="1">(R349-S349-T349)*(1+'Retirement Planning'!$J$23/12)</f>
        <v>1085429.7930476086</v>
      </c>
      <c r="S350" s="58">
        <f t="shared" ca="1" si="155"/>
        <v>808.33333333333337</v>
      </c>
      <c r="T350" s="273">
        <f t="shared" ca="1" si="142"/>
        <v>-9.0949470177292824E-13</v>
      </c>
      <c r="U350" s="57">
        <f ca="1">(U349-V349)*(1+'Retirement Planning'!$J$23/12)</f>
        <v>667173.84981944121</v>
      </c>
      <c r="V350" s="24">
        <f ca="1">IF(AND($B$10&lt;55,B350&lt;59.5),MIN(U350,MAX(0,(Y350+AA350+AJ350-G350)*'Retirement Planning'!$J$45)),IF(B350&lt;59.5,(MIN(U350,MAX(0,((Y350+AA350+AJ350)-G350-M350)*'Retirement Planning'!$J$45))),MIN(U350,MAX(0,(Y350+AA350+AJ350-G350-M350-K350-X350)*'Retirement Planning'!$J$45))))</f>
        <v>1546.2738093119731</v>
      </c>
      <c r="W350" s="7">
        <f t="shared" ca="1" si="143"/>
        <v>3839870.3674630933</v>
      </c>
      <c r="X350" s="7">
        <f>(IF(B350&gt;'Retirement Planning'!$J$34,IF('Retirement Planning'!$J$34=70,'Retirement Planning'!$J$37/12,IF('Retirement Planning'!$J$34=67,'Retirement Planning'!$J$36/12,'Retirement Planning'!$J$35/12)),0))*'Retirement Planning'!$J$38</f>
        <v>1213.6000000000001</v>
      </c>
      <c r="Y350" s="7">
        <f ca="1">'Retirement Planning'!$F$35*((1+'Retirement Planning'!$J$24)^(YEAR('Projected Retirement Drawdown'!C350)-YEAR(TODAY())))</f>
        <v>13602.69664870897</v>
      </c>
      <c r="Z350" s="7">
        <f ca="1">G350+M350+O350+0.85*X350+V350*'Retirement Planning'!$J$46+T350</f>
        <v>14998.865807280592</v>
      </c>
      <c r="AA350" s="7">
        <f ca="1">IF(MONTH(C350)=1,(((MIN(MAX(0,((SUM(Z338:Z349)-'Retirement Planning'!$I$53-'Retirement Planning'!$I$54)-'Retirement Planning'!$J$51)*'Retirement Planning'!$I$52))))+(MIN(MAX(0,((SUM(Z338:Z349)-'Retirement Planning'!$I$53-'Retirement Planning'!$I$54)-'Retirement Planning'!$J$50)*'Retirement Planning'!$I$51),('Retirement Planning'!$J$51-'Retirement Planning'!$J$50)*'Retirement Planning'!$I$51))+(MIN(MAX(0,((SUM(Z338:Z349)-'Retirement Planning'!$I$53-'Retirement Planning'!$I$54)-'Retirement Planning'!$J$49)*'Retirement Planning'!$I$50),('Retirement Planning'!$J$50-'Retirement Planning'!$J$49)*'Retirement Planning'!$I$50)+MIN(MAX(0,((SUM(Z338:Z349)-'Retirement Planning'!$I$53-'Retirement Planning'!$I$54)-'Retirement Planning'!$J$48)*'Retirement Planning'!$I$49),('Retirement Planning'!$J$49-'Retirement Planning'!$J$48)*'Retirement Planning'!$I$49)+MIN(((SUM(Z338:Z349)-'Retirement Planning'!$I$53-'Retirement Planning'!$I$54))*'Retirement Planning'!$I$48,('Retirement Planning'!$J$48)*'Retirement Planning'!$I$48))+(IF((SUM(Z338:Z349)-'Retirement Planning'!$I$54-'Retirement Planning'!$I$61)&gt;'Retirement Planning'!$J$59,(SUM(Z338:Z349)-'Retirement Planning'!$I$54-'Retirement Planning'!$I$61-'Retirement Planning'!$J$59)*'Retirement Planning'!$I$60+'Retirement Planning'!$K$59,IF((SUM(Z338:Z349)-'Retirement Planning'!$I$54-'Retirement Planning'!$I$61)&gt;'Retirement Planning'!$J$58,(SUM(Z338:Z349)-'Retirement Planning'!$I$54-'Retirement Planning'!$I$61-'Retirement Planning'!$J$58)*'Retirement Planning'!$I$59+'Retirement Planning'!$K$58,IF((SUM(Z338:Z349)-'Retirement Planning'!$I$54-'Retirement Planning'!$I$61)&gt;'Retirement Planning'!$J$57,(SUM(Z338:Z349)-'Retirement Planning'!$I$54-'Retirement Planning'!$I$61-'Retirement Planning'!$J$57)*'Retirement Planning'!$I$58+'Retirement Planning'!$K$57,IF((SUM(Z338:Z349)-'Retirement Planning'!$I$54-'Retirement Planning'!$I$61)&gt;'Retirement Planning'!$J$56,(SUM(Z338:Z349)-'Retirement Planning'!$I$54-'Retirement Planning'!$I$61-'Retirement Planning'!$J$56)*'Retirement Planning'!$I$57+'Retirement Planning'!$K$56,(SUM(Z338:Z349)-'Retirement Planning'!$I$54-'Retirement Planning'!$I$61)*'Retirement Planning'!$I$56))))))/12,AA349)</f>
        <v>3772.5566996354846</v>
      </c>
      <c r="AB350" s="104">
        <f t="shared" ca="1" si="134"/>
        <v>0.26092449238154836</v>
      </c>
      <c r="AC350" s="7">
        <f>IF(B350&lt;65,'Retirement Planning'!$J$28,0)</f>
        <v>0</v>
      </c>
      <c r="AD350" s="7">
        <f>IF(B350&lt;65,'Retirement Planning'!$J$29/12,0)</f>
        <v>0</v>
      </c>
      <c r="AE350" s="22">
        <f>'Retirement Planning'!$J$31/12</f>
        <v>58.333333333333336</v>
      </c>
      <c r="AF350" s="22">
        <f>'Retirement Planning'!$J$32/12</f>
        <v>66.666666666666671</v>
      </c>
      <c r="AG350" s="7">
        <f>IF($B350&gt;64.9,'Retirement Planning'!$J$39/12,0)</f>
        <v>183.33333333333334</v>
      </c>
      <c r="AH350" s="7">
        <f>IF($B350&gt;64.9,'Retirement Planning'!$J$40/12,0)</f>
        <v>258.33333333333331</v>
      </c>
      <c r="AI350" s="7">
        <f>IF($B350&gt;64.9,'Retirement Planning'!$J$41/12,0)</f>
        <v>558.33333333333337</v>
      </c>
      <c r="AJ350" s="7">
        <f t="shared" ca="1" si="144"/>
        <v>316.66666666666663</v>
      </c>
      <c r="AK350" s="3" t="str">
        <f t="shared" ca="1" si="145"/>
        <v>N/A</v>
      </c>
      <c r="AL350" s="6" t="str">
        <f t="shared" ca="1" si="146"/>
        <v>N/A</v>
      </c>
      <c r="AM350" s="7">
        <f t="shared" ca="1" si="147"/>
        <v>-2.5011104298755527E-12</v>
      </c>
      <c r="AN350" s="7">
        <f t="shared" ca="1" si="148"/>
        <v>18500.253348344457</v>
      </c>
      <c r="AO350" s="7">
        <f t="shared" si="149"/>
        <v>1125</v>
      </c>
    </row>
    <row r="351" spans="1:41" x14ac:dyDescent="0.2">
      <c r="A351">
        <f t="shared" si="150"/>
        <v>50</v>
      </c>
      <c r="B351" s="5">
        <f t="shared" si="151"/>
        <v>84.7</v>
      </c>
      <c r="C351" s="56">
        <f t="shared" si="152"/>
        <v>56796</v>
      </c>
      <c r="D351" s="57">
        <f ca="1">IF(AND(B350&lt;59.5,OR(B351&gt;59.5,B351=59.5)),(D350-E350+J350-K350)*(1+'Retirement Planning'!$J$23/12),(D350-E350)*(1+'Retirement Planning'!$J$23/12))</f>
        <v>819323.83411138493</v>
      </c>
      <c r="E351" s="58">
        <f t="shared" ca="1" si="139"/>
        <v>1815.1909935401436</v>
      </c>
      <c r="F351" s="57">
        <f ca="1">IF(AND(OR(B351&gt;59.5,B351=59.5),B350&lt;59.5),(F350-G350+L350-M350+N350-O350)*(1+'Retirement Planning'!$J$23/12),(F350-G350)*(1+'Retirement Planning'!$J$23/12))</f>
        <v>1267689.8815842245</v>
      </c>
      <c r="G351" s="58">
        <f ca="1">IF(AND($B$10&lt;55,B351&lt;59.5),'Retirement Planning'!$J$25,IF(OR(B351&gt;59.5,B351=59.5),MAX(0,MIN(F351,IF(D351&lt;2500,((Y351+AJ351+AA351))-X351,((Y351+AJ351+AA351)*'Retirement Planning'!$J$44)-X351))),0))</f>
        <v>13116.855212159009</v>
      </c>
      <c r="H351" s="255">
        <f ca="1">IF(MONTH(C351)=1,IF(B351&gt;69.5,F351/(INDEX('Retirement Planning'!D$1:D$264,(160+INT(B351))))/12,0),IF(F351=0,0,H350))</f>
        <v>12523.780056585327</v>
      </c>
      <c r="I351" s="262">
        <f t="shared" ca="1" si="140"/>
        <v>0</v>
      </c>
      <c r="J351" s="254">
        <f ca="1">IF(AND(B350&lt;59.5,OR(B351=59.5,B351&gt;59.5)),0,(J350-K350)*(1+'Retirement Planning'!$J$23/12))</f>
        <v>0</v>
      </c>
      <c r="K351" s="58">
        <f t="shared" ca="1" si="141"/>
        <v>0</v>
      </c>
      <c r="L351" s="57">
        <f>IF(AND(OR(B351&gt;59.5,B351=59.5),B350&lt;59.5),0,(L350-M350)*(1+'Retirement Planning'!$J$23/12))</f>
        <v>0</v>
      </c>
      <c r="M351" s="59">
        <f>IF(AND($B$10&lt;55,B351&lt;59.5),0,IF(B351&lt;59.5,MAX(0,MIN((($Y351+$AJ351+AA351)*'Retirement Planning'!$J$44)-$G351-$X351,L351)),0))</f>
        <v>0</v>
      </c>
      <c r="N351" s="57">
        <f ca="1">(N350-O350)*(1+'Retirement Planning'!$J$23/12)</f>
        <v>0</v>
      </c>
      <c r="O351" s="59">
        <f ca="1">IF(B351&gt;59.5,MAX(0,MIN((AA351+$Y351+$AJ351)*(IF(D351&lt;(MIN(E339:E350)+1),1,'Retirement Planning'!$J$44))-M351-$G351-$X351-(IF(D351&lt;(MIN(E339:E350)+1),D351,0)),N351)),0)</f>
        <v>0</v>
      </c>
      <c r="P351" s="57">
        <f t="shared" si="153"/>
        <v>0</v>
      </c>
      <c r="Q351" s="58">
        <f t="shared" si="154"/>
        <v>0</v>
      </c>
      <c r="R351" s="57">
        <f ca="1">(R350-S350-T350)*(1+'Retirement Planning'!$J$23/12)</f>
        <v>1092304.1950539181</v>
      </c>
      <c r="S351" s="58">
        <f t="shared" ca="1" si="155"/>
        <v>808.33333333333337</v>
      </c>
      <c r="T351" s="273">
        <f t="shared" ca="1" si="142"/>
        <v>-9.0949470177292824E-13</v>
      </c>
      <c r="U351" s="57">
        <f ca="1">(U350-V350)*(1+'Retirement Planning'!$J$23/12)</f>
        <v>670342.43800686754</v>
      </c>
      <c r="V351" s="24">
        <f ca="1">IF(AND($B$10&lt;55,B351&lt;59.5),MIN(U351,MAX(0,(Y351+AA351+AJ351-G351)*'Retirement Planning'!$J$45)),IF(B351&lt;59.5,(MIN(U351,MAX(0,((Y351+AA351+AJ351)-G351-M351)*'Retirement Planning'!$J$45))),MIN(U351,MAX(0,(Y351+AA351+AJ351-G351-M351-K351-X351)*'Retirement Planning'!$J$45))))</f>
        <v>1546.2738093119731</v>
      </c>
      <c r="W351" s="7">
        <f t="shared" ca="1" si="143"/>
        <v>3849660.3487563953</v>
      </c>
      <c r="X351" s="7">
        <f>(IF(B351&gt;'Retirement Planning'!$J$34,IF('Retirement Planning'!$J$34=70,'Retirement Planning'!$J$37/12,IF('Retirement Planning'!$J$34=67,'Retirement Planning'!$J$36/12,'Retirement Planning'!$J$35/12)),0))*'Retirement Planning'!$J$38</f>
        <v>1213.6000000000001</v>
      </c>
      <c r="Y351" s="7">
        <f ca="1">'Retirement Planning'!$F$35*((1+'Retirement Planning'!$J$24)^(YEAR('Projected Retirement Drawdown'!C351)-YEAR(TODAY())))</f>
        <v>13602.69664870897</v>
      </c>
      <c r="Z351" s="7">
        <f ca="1">G351+M351+O351+0.85*X351+V351*'Retirement Planning'!$J$46+T351</f>
        <v>14998.865807280592</v>
      </c>
      <c r="AA351" s="7">
        <f ca="1">IF(MONTH(C351)=1,(((MIN(MAX(0,((SUM(Z339:Z350)-'Retirement Planning'!$I$53-'Retirement Planning'!$I$54)-'Retirement Planning'!$J$51)*'Retirement Planning'!$I$52))))+(MIN(MAX(0,((SUM(Z339:Z350)-'Retirement Planning'!$I$53-'Retirement Planning'!$I$54)-'Retirement Planning'!$J$50)*'Retirement Planning'!$I$51),('Retirement Planning'!$J$51-'Retirement Planning'!$J$50)*'Retirement Planning'!$I$51))+(MIN(MAX(0,((SUM(Z339:Z350)-'Retirement Planning'!$I$53-'Retirement Planning'!$I$54)-'Retirement Planning'!$J$49)*'Retirement Planning'!$I$50),('Retirement Planning'!$J$50-'Retirement Planning'!$J$49)*'Retirement Planning'!$I$50)+MIN(MAX(0,((SUM(Z339:Z350)-'Retirement Planning'!$I$53-'Retirement Planning'!$I$54)-'Retirement Planning'!$J$48)*'Retirement Planning'!$I$49),('Retirement Planning'!$J$49-'Retirement Planning'!$J$48)*'Retirement Planning'!$I$49)+MIN(((SUM(Z339:Z350)-'Retirement Planning'!$I$53-'Retirement Planning'!$I$54))*'Retirement Planning'!$I$48,('Retirement Planning'!$J$48)*'Retirement Planning'!$I$48))+(IF((SUM(Z339:Z350)-'Retirement Planning'!$I$54-'Retirement Planning'!$I$61)&gt;'Retirement Planning'!$J$59,(SUM(Z339:Z350)-'Retirement Planning'!$I$54-'Retirement Planning'!$I$61-'Retirement Planning'!$J$59)*'Retirement Planning'!$I$60+'Retirement Planning'!$K$59,IF((SUM(Z339:Z350)-'Retirement Planning'!$I$54-'Retirement Planning'!$I$61)&gt;'Retirement Planning'!$J$58,(SUM(Z339:Z350)-'Retirement Planning'!$I$54-'Retirement Planning'!$I$61-'Retirement Planning'!$J$58)*'Retirement Planning'!$I$59+'Retirement Planning'!$K$58,IF((SUM(Z339:Z350)-'Retirement Planning'!$I$54-'Retirement Planning'!$I$61)&gt;'Retirement Planning'!$J$57,(SUM(Z339:Z350)-'Retirement Planning'!$I$54-'Retirement Planning'!$I$61-'Retirement Planning'!$J$57)*'Retirement Planning'!$I$58+'Retirement Planning'!$K$57,IF((SUM(Z339:Z350)-'Retirement Planning'!$I$54-'Retirement Planning'!$I$61)&gt;'Retirement Planning'!$J$56,(SUM(Z339:Z350)-'Retirement Planning'!$I$54-'Retirement Planning'!$I$61-'Retirement Planning'!$J$56)*'Retirement Planning'!$I$57+'Retirement Planning'!$K$56,(SUM(Z339:Z350)-'Retirement Planning'!$I$54-'Retirement Planning'!$I$61)*'Retirement Planning'!$I$56))))))/12,AA350)</f>
        <v>3772.5566996354846</v>
      </c>
      <c r="AB351" s="104">
        <f t="shared" ca="1" si="134"/>
        <v>0.26092449238154836</v>
      </c>
      <c r="AC351" s="7">
        <f>IF(B351&lt;65,'Retirement Planning'!$J$28,0)</f>
        <v>0</v>
      </c>
      <c r="AD351" s="7">
        <f>IF(B351&lt;65,'Retirement Planning'!$J$29/12,0)</f>
        <v>0</v>
      </c>
      <c r="AE351" s="22">
        <f>'Retirement Planning'!$J$31/12</f>
        <v>58.333333333333336</v>
      </c>
      <c r="AF351" s="22">
        <f>'Retirement Planning'!$J$32/12</f>
        <v>66.666666666666671</v>
      </c>
      <c r="AG351" s="7">
        <f>IF($B351&gt;64.9,'Retirement Planning'!$J$39/12,0)</f>
        <v>183.33333333333334</v>
      </c>
      <c r="AH351" s="7">
        <f>IF($B351&gt;64.9,'Retirement Planning'!$J$40/12,0)</f>
        <v>258.33333333333331</v>
      </c>
      <c r="AI351" s="7">
        <f>IF($B351&gt;64.9,'Retirement Planning'!$J$41/12,0)</f>
        <v>558.33333333333337</v>
      </c>
      <c r="AJ351" s="7">
        <f t="shared" ca="1" si="144"/>
        <v>316.66666666666663</v>
      </c>
      <c r="AK351" s="3" t="str">
        <f t="shared" ca="1" si="145"/>
        <v>N/A</v>
      </c>
      <c r="AL351" s="6" t="str">
        <f t="shared" ca="1" si="146"/>
        <v>N/A</v>
      </c>
      <c r="AM351" s="7">
        <f t="shared" ca="1" si="147"/>
        <v>-2.5011104298755527E-12</v>
      </c>
      <c r="AN351" s="7">
        <f t="shared" ca="1" si="148"/>
        <v>18500.253348344457</v>
      </c>
      <c r="AO351" s="7">
        <f t="shared" si="149"/>
        <v>1125</v>
      </c>
    </row>
    <row r="352" spans="1:41" x14ac:dyDescent="0.2">
      <c r="A352">
        <f t="shared" si="150"/>
        <v>50</v>
      </c>
      <c r="B352" s="5">
        <f t="shared" si="151"/>
        <v>84.8</v>
      </c>
      <c r="C352" s="56">
        <f t="shared" si="152"/>
        <v>56827</v>
      </c>
      <c r="D352" s="57">
        <f ca="1">IF(AND(B351&lt;59.5,OR(B352&gt;59.5,B352=59.5)),(D351-E351+J351-K351)*(1+'Retirement Planning'!$J$23/12),(D351-E351)*(1+'Retirement Planning'!$J$23/12))</f>
        <v>823299.32933992951</v>
      </c>
      <c r="E352" s="58">
        <f t="shared" ca="1" si="139"/>
        <v>1815.1909935401436</v>
      </c>
      <c r="F352" s="57">
        <f ca="1">IF(AND(OR(B352&gt;59.5,B352=59.5),B351&lt;59.5),(F351-G351+L351-M351+N351-O351)*(1+'Retirement Planning'!$J$23/12),(F351-G351)*(1+'Retirement Planning'!$J$23/12))</f>
        <v>1263459.5853088677</v>
      </c>
      <c r="G352" s="58">
        <f ca="1">IF(AND($B$10&lt;55,B352&lt;59.5),'Retirement Planning'!$J$25,IF(OR(B352&gt;59.5,B352=59.5),MAX(0,MIN(F352,IF(D352&lt;2500,((Y352+AJ352+AA352))-X352,((Y352+AJ352+AA352)*'Retirement Planning'!$J$44)-X352))),0))</f>
        <v>13116.855212159009</v>
      </c>
      <c r="H352" s="255">
        <f ca="1">IF(MONTH(C352)=1,IF(B352&gt;69.5,F352/(INDEX('Retirement Planning'!D$1:D$264,(160+INT(B352))))/12,0),IF(F352=0,0,H351))</f>
        <v>12523.780056585327</v>
      </c>
      <c r="I352" s="262">
        <f t="shared" ca="1" si="140"/>
        <v>0</v>
      </c>
      <c r="J352" s="254">
        <f ca="1">IF(AND(B351&lt;59.5,OR(B352=59.5,B352&gt;59.5)),0,(J351-K351)*(1+'Retirement Planning'!$J$23/12))</f>
        <v>0</v>
      </c>
      <c r="K352" s="58">
        <f t="shared" ca="1" si="141"/>
        <v>0</v>
      </c>
      <c r="L352" s="57">
        <f>IF(AND(OR(B352&gt;59.5,B352=59.5),B351&lt;59.5),0,(L351-M351)*(1+'Retirement Planning'!$J$23/12))</f>
        <v>0</v>
      </c>
      <c r="M352" s="59">
        <f>IF(AND($B$10&lt;55,B352&lt;59.5),0,IF(B352&lt;59.5,MAX(0,MIN((($Y352+$AJ352+AA352)*'Retirement Planning'!$J$44)-$G352-$X352,L352)),0))</f>
        <v>0</v>
      </c>
      <c r="N352" s="57">
        <f ca="1">(N351-O351)*(1+'Retirement Planning'!$J$23/12)</f>
        <v>0</v>
      </c>
      <c r="O352" s="59">
        <f ca="1">IF(B352&gt;59.5,MAX(0,MIN((AA352+$Y352+$AJ352)*(IF(D352&lt;(MIN(E340:E351)+1),1,'Retirement Planning'!$J$44))-M352-$G352-$X352-(IF(D352&lt;(MIN(E340:E351)+1),D352,0)),N352)),0)</f>
        <v>0</v>
      </c>
      <c r="P352" s="57">
        <f t="shared" si="153"/>
        <v>0</v>
      </c>
      <c r="Q352" s="58">
        <f t="shared" si="154"/>
        <v>0</v>
      </c>
      <c r="R352" s="57">
        <f ca="1">(R351-S351-T351)*(1+'Retirement Planning'!$J$23/12)</f>
        <v>1099227.2907411056</v>
      </c>
      <c r="S352" s="58">
        <f t="shared" ca="1" si="155"/>
        <v>808.33333333333337</v>
      </c>
      <c r="T352" s="273">
        <f t="shared" ca="1" si="142"/>
        <v>-9.0949470177292824E-13</v>
      </c>
      <c r="U352" s="57">
        <f ca="1">(U351-V351)*(1+'Retirement Planning'!$J$23/12)</f>
        <v>673533.47036062158</v>
      </c>
      <c r="V352" s="24">
        <f ca="1">IF(AND($B$10&lt;55,B352&lt;59.5),MIN(U352,MAX(0,(Y352+AA352+AJ352-G352)*'Retirement Planning'!$J$45)),IF(B352&lt;59.5,(MIN(U352,MAX(0,((Y352+AA352+AJ352)-G352-M352)*'Retirement Planning'!$J$45))),MIN(U352,MAX(0,(Y352+AA352+AJ352-G352-M352-K352-X352)*'Retirement Planning'!$J$45))))</f>
        <v>1546.2738093119731</v>
      </c>
      <c r="W352" s="7">
        <f t="shared" ca="1" si="143"/>
        <v>3859519.6757505247</v>
      </c>
      <c r="X352" s="7">
        <f>(IF(B352&gt;'Retirement Planning'!$J$34,IF('Retirement Planning'!$J$34=70,'Retirement Planning'!$J$37/12,IF('Retirement Planning'!$J$34=67,'Retirement Planning'!$J$36/12,'Retirement Planning'!$J$35/12)),0))*'Retirement Planning'!$J$38</f>
        <v>1213.6000000000001</v>
      </c>
      <c r="Y352" s="7">
        <f ca="1">'Retirement Planning'!$F$35*((1+'Retirement Planning'!$J$24)^(YEAR('Projected Retirement Drawdown'!C352)-YEAR(TODAY())))</f>
        <v>13602.69664870897</v>
      </c>
      <c r="Z352" s="7">
        <f ca="1">G352+M352+O352+0.85*X352+V352*'Retirement Planning'!$J$46+T352</f>
        <v>14998.865807280592</v>
      </c>
      <c r="AA352" s="7">
        <f ca="1">IF(MONTH(C352)=1,(((MIN(MAX(0,((SUM(Z340:Z351)-'Retirement Planning'!$I$53-'Retirement Planning'!$I$54)-'Retirement Planning'!$J$51)*'Retirement Planning'!$I$52))))+(MIN(MAX(0,((SUM(Z340:Z351)-'Retirement Planning'!$I$53-'Retirement Planning'!$I$54)-'Retirement Planning'!$J$50)*'Retirement Planning'!$I$51),('Retirement Planning'!$J$51-'Retirement Planning'!$J$50)*'Retirement Planning'!$I$51))+(MIN(MAX(0,((SUM(Z340:Z351)-'Retirement Planning'!$I$53-'Retirement Planning'!$I$54)-'Retirement Planning'!$J$49)*'Retirement Planning'!$I$50),('Retirement Planning'!$J$50-'Retirement Planning'!$J$49)*'Retirement Planning'!$I$50)+MIN(MAX(0,((SUM(Z340:Z351)-'Retirement Planning'!$I$53-'Retirement Planning'!$I$54)-'Retirement Planning'!$J$48)*'Retirement Planning'!$I$49),('Retirement Planning'!$J$49-'Retirement Planning'!$J$48)*'Retirement Planning'!$I$49)+MIN(((SUM(Z340:Z351)-'Retirement Planning'!$I$53-'Retirement Planning'!$I$54))*'Retirement Planning'!$I$48,('Retirement Planning'!$J$48)*'Retirement Planning'!$I$48))+(IF((SUM(Z340:Z351)-'Retirement Planning'!$I$54-'Retirement Planning'!$I$61)&gt;'Retirement Planning'!$J$59,(SUM(Z340:Z351)-'Retirement Planning'!$I$54-'Retirement Planning'!$I$61-'Retirement Planning'!$J$59)*'Retirement Planning'!$I$60+'Retirement Planning'!$K$59,IF((SUM(Z340:Z351)-'Retirement Planning'!$I$54-'Retirement Planning'!$I$61)&gt;'Retirement Planning'!$J$58,(SUM(Z340:Z351)-'Retirement Planning'!$I$54-'Retirement Planning'!$I$61-'Retirement Planning'!$J$58)*'Retirement Planning'!$I$59+'Retirement Planning'!$K$58,IF((SUM(Z340:Z351)-'Retirement Planning'!$I$54-'Retirement Planning'!$I$61)&gt;'Retirement Planning'!$J$57,(SUM(Z340:Z351)-'Retirement Planning'!$I$54-'Retirement Planning'!$I$61-'Retirement Planning'!$J$57)*'Retirement Planning'!$I$58+'Retirement Planning'!$K$57,IF((SUM(Z340:Z351)-'Retirement Planning'!$I$54-'Retirement Planning'!$I$61)&gt;'Retirement Planning'!$J$56,(SUM(Z340:Z351)-'Retirement Planning'!$I$54-'Retirement Planning'!$I$61-'Retirement Planning'!$J$56)*'Retirement Planning'!$I$57+'Retirement Planning'!$K$56,(SUM(Z340:Z351)-'Retirement Planning'!$I$54-'Retirement Planning'!$I$61)*'Retirement Planning'!$I$56))))))/12,AA351)</f>
        <v>3772.5566996354846</v>
      </c>
      <c r="AB352" s="104">
        <f t="shared" ca="1" si="134"/>
        <v>0.26092449238154836</v>
      </c>
      <c r="AC352" s="7">
        <f>IF(B352&lt;65,'Retirement Planning'!$J$28,0)</f>
        <v>0</v>
      </c>
      <c r="AD352" s="7">
        <f>IF(B352&lt;65,'Retirement Planning'!$J$29/12,0)</f>
        <v>0</v>
      </c>
      <c r="AE352" s="22">
        <f>'Retirement Planning'!$J$31/12</f>
        <v>58.333333333333336</v>
      </c>
      <c r="AF352" s="22">
        <f>'Retirement Planning'!$J$32/12</f>
        <v>66.666666666666671</v>
      </c>
      <c r="AG352" s="7">
        <f>IF($B352&gt;64.9,'Retirement Planning'!$J$39/12,0)</f>
        <v>183.33333333333334</v>
      </c>
      <c r="AH352" s="7">
        <f>IF($B352&gt;64.9,'Retirement Planning'!$J$40/12,0)</f>
        <v>258.33333333333331</v>
      </c>
      <c r="AI352" s="7">
        <f>IF($B352&gt;64.9,'Retirement Planning'!$J$41/12,0)</f>
        <v>558.33333333333337</v>
      </c>
      <c r="AJ352" s="7">
        <f t="shared" ca="1" si="144"/>
        <v>316.66666666666663</v>
      </c>
      <c r="AK352" s="3" t="str">
        <f t="shared" ca="1" si="145"/>
        <v>N/A</v>
      </c>
      <c r="AL352" s="6" t="str">
        <f t="shared" ca="1" si="146"/>
        <v>N/A</v>
      </c>
      <c r="AM352" s="7">
        <f t="shared" ca="1" si="147"/>
        <v>-2.5011104298755527E-12</v>
      </c>
      <c r="AN352" s="7">
        <f t="shared" ca="1" si="148"/>
        <v>18500.253348344457</v>
      </c>
      <c r="AO352" s="7">
        <f t="shared" si="149"/>
        <v>1125</v>
      </c>
    </row>
    <row r="353" spans="1:41" x14ac:dyDescent="0.2">
      <c r="A353">
        <f t="shared" si="150"/>
        <v>50</v>
      </c>
      <c r="B353" s="5">
        <f t="shared" si="151"/>
        <v>84.9</v>
      </c>
      <c r="C353" s="56">
        <f t="shared" si="152"/>
        <v>56858</v>
      </c>
      <c r="D353" s="57">
        <f ca="1">IF(AND(B352&lt;59.5,OR(B353&gt;59.5,B353=59.5)),(D352-E352+J352-K352)*(1+'Retirement Planning'!$J$23/12),(D352-E352)*(1+'Retirement Planning'!$J$23/12))</f>
        <v>827302.98432634294</v>
      </c>
      <c r="E353" s="58">
        <f t="shared" ca="1" si="139"/>
        <v>1815.1909935401436</v>
      </c>
      <c r="F353" s="57">
        <f ca="1">IF(AND(OR(B353&gt;59.5,B353=59.5),B352&lt;59.5),(F352-G352+L352-M352+N352-O352)*(1+'Retirement Planning'!$J$23/12),(F352-G352)*(1+'Retirement Planning'!$J$23/12))</f>
        <v>1259199.3244348937</v>
      </c>
      <c r="G353" s="58">
        <f ca="1">IF(AND($B$10&lt;55,B353&lt;59.5),'Retirement Planning'!$J$25,IF(OR(B353&gt;59.5,B353=59.5),MAX(0,MIN(F353,IF(D353&lt;2500,((Y353+AJ353+AA353))-X353,((Y353+AJ353+AA353)*'Retirement Planning'!$J$44)-X353))),0))</f>
        <v>13116.855212159009</v>
      </c>
      <c r="H353" s="255">
        <f ca="1">IF(MONTH(C353)=1,IF(B353&gt;69.5,F353/(INDEX('Retirement Planning'!D$1:D$264,(160+INT(B353))))/12,0),IF(F353=0,0,H352))</f>
        <v>12523.780056585327</v>
      </c>
      <c r="I353" s="262">
        <f t="shared" ca="1" si="140"/>
        <v>0</v>
      </c>
      <c r="J353" s="254">
        <f ca="1">IF(AND(B352&lt;59.5,OR(B353=59.5,B353&gt;59.5)),0,(J352-K352)*(1+'Retirement Planning'!$J$23/12))</f>
        <v>0</v>
      </c>
      <c r="K353" s="58">
        <f t="shared" ca="1" si="141"/>
        <v>0</v>
      </c>
      <c r="L353" s="57">
        <f>IF(AND(OR(B353&gt;59.5,B353=59.5),B352&lt;59.5),0,(L352-M352)*(1+'Retirement Planning'!$J$23/12))</f>
        <v>0</v>
      </c>
      <c r="M353" s="59">
        <f>IF(AND($B$10&lt;55,B353&lt;59.5),0,IF(B353&lt;59.5,MAX(0,MIN((($Y353+$AJ353+AA353)*'Retirement Planning'!$J$44)-$G353-$X353,L353)),0))</f>
        <v>0</v>
      </c>
      <c r="N353" s="57">
        <f ca="1">(N352-O352)*(1+'Retirement Planning'!$J$23/12)</f>
        <v>0</v>
      </c>
      <c r="O353" s="59">
        <f ca="1">IF(B353&gt;59.5,MAX(0,MIN((AA353+$Y353+$AJ353)*(IF(D353&lt;(MIN(E341:E352)+1),1,'Retirement Planning'!$J$44))-M353-$G353-$X353-(IF(D353&lt;(MIN(E341:E352)+1),D353,0)),N353)),0)</f>
        <v>0</v>
      </c>
      <c r="P353" s="57">
        <f t="shared" si="153"/>
        <v>0</v>
      </c>
      <c r="Q353" s="58">
        <f t="shared" si="154"/>
        <v>0</v>
      </c>
      <c r="R353" s="57">
        <f ca="1">(R352-S352-T352)*(1+'Retirement Planning'!$J$23/12)</f>
        <v>1106199.4250227441</v>
      </c>
      <c r="S353" s="58">
        <f t="shared" ca="1" si="155"/>
        <v>808.33333333333337</v>
      </c>
      <c r="T353" s="273">
        <f t="shared" ca="1" si="142"/>
        <v>-9.0949470177292824E-13</v>
      </c>
      <c r="U353" s="57">
        <f ca="1">(U352-V352)*(1+'Retirement Planning'!$J$23/12)</f>
        <v>676747.10586021468</v>
      </c>
      <c r="V353" s="24">
        <f ca="1">IF(AND($B$10&lt;55,B353&lt;59.5),MIN(U353,MAX(0,(Y353+AA353+AJ353-G353)*'Retirement Planning'!$J$45)),IF(B353&lt;59.5,(MIN(U353,MAX(0,((Y353+AA353+AJ353)-G353-M353)*'Retirement Planning'!$J$45))),MIN(U353,MAX(0,(Y353+AA353+AJ353-G353-M353-K353-X353)*'Retirement Planning'!$J$45))))</f>
        <v>1546.2738093119731</v>
      </c>
      <c r="W353" s="7">
        <f t="shared" ca="1" si="143"/>
        <v>3869448.8396441955</v>
      </c>
      <c r="X353" s="7">
        <f>(IF(B353&gt;'Retirement Planning'!$J$34,IF('Retirement Planning'!$J$34=70,'Retirement Planning'!$J$37/12,IF('Retirement Planning'!$J$34=67,'Retirement Planning'!$J$36/12,'Retirement Planning'!$J$35/12)),0))*'Retirement Planning'!$J$38</f>
        <v>1213.6000000000001</v>
      </c>
      <c r="Y353" s="7">
        <f ca="1">'Retirement Planning'!$F$35*((1+'Retirement Planning'!$J$24)^(YEAR('Projected Retirement Drawdown'!C353)-YEAR(TODAY())))</f>
        <v>13602.69664870897</v>
      </c>
      <c r="Z353" s="7">
        <f ca="1">G353+M353+O353+0.85*X353+V353*'Retirement Planning'!$J$46+T353</f>
        <v>14998.865807280592</v>
      </c>
      <c r="AA353" s="7">
        <f ca="1">IF(MONTH(C353)=1,(((MIN(MAX(0,((SUM(Z341:Z352)-'Retirement Planning'!$I$53-'Retirement Planning'!$I$54)-'Retirement Planning'!$J$51)*'Retirement Planning'!$I$52))))+(MIN(MAX(0,((SUM(Z341:Z352)-'Retirement Planning'!$I$53-'Retirement Planning'!$I$54)-'Retirement Planning'!$J$50)*'Retirement Planning'!$I$51),('Retirement Planning'!$J$51-'Retirement Planning'!$J$50)*'Retirement Planning'!$I$51))+(MIN(MAX(0,((SUM(Z341:Z352)-'Retirement Planning'!$I$53-'Retirement Planning'!$I$54)-'Retirement Planning'!$J$49)*'Retirement Planning'!$I$50),('Retirement Planning'!$J$50-'Retirement Planning'!$J$49)*'Retirement Planning'!$I$50)+MIN(MAX(0,((SUM(Z341:Z352)-'Retirement Planning'!$I$53-'Retirement Planning'!$I$54)-'Retirement Planning'!$J$48)*'Retirement Planning'!$I$49),('Retirement Planning'!$J$49-'Retirement Planning'!$J$48)*'Retirement Planning'!$I$49)+MIN(((SUM(Z341:Z352)-'Retirement Planning'!$I$53-'Retirement Planning'!$I$54))*'Retirement Planning'!$I$48,('Retirement Planning'!$J$48)*'Retirement Planning'!$I$48))+(IF((SUM(Z341:Z352)-'Retirement Planning'!$I$54-'Retirement Planning'!$I$61)&gt;'Retirement Planning'!$J$59,(SUM(Z341:Z352)-'Retirement Planning'!$I$54-'Retirement Planning'!$I$61-'Retirement Planning'!$J$59)*'Retirement Planning'!$I$60+'Retirement Planning'!$K$59,IF((SUM(Z341:Z352)-'Retirement Planning'!$I$54-'Retirement Planning'!$I$61)&gt;'Retirement Planning'!$J$58,(SUM(Z341:Z352)-'Retirement Planning'!$I$54-'Retirement Planning'!$I$61-'Retirement Planning'!$J$58)*'Retirement Planning'!$I$59+'Retirement Planning'!$K$58,IF((SUM(Z341:Z352)-'Retirement Planning'!$I$54-'Retirement Planning'!$I$61)&gt;'Retirement Planning'!$J$57,(SUM(Z341:Z352)-'Retirement Planning'!$I$54-'Retirement Planning'!$I$61-'Retirement Planning'!$J$57)*'Retirement Planning'!$I$58+'Retirement Planning'!$K$57,IF((SUM(Z341:Z352)-'Retirement Planning'!$I$54-'Retirement Planning'!$I$61)&gt;'Retirement Planning'!$J$56,(SUM(Z341:Z352)-'Retirement Planning'!$I$54-'Retirement Planning'!$I$61-'Retirement Planning'!$J$56)*'Retirement Planning'!$I$57+'Retirement Planning'!$K$56,(SUM(Z341:Z352)-'Retirement Planning'!$I$54-'Retirement Planning'!$I$61)*'Retirement Planning'!$I$56))))))/12,AA352)</f>
        <v>3772.5566996354846</v>
      </c>
      <c r="AB353" s="104">
        <f t="shared" ca="1" si="134"/>
        <v>0.26092449238154836</v>
      </c>
      <c r="AC353" s="7">
        <f>IF(B353&lt;65,'Retirement Planning'!$J$28,0)</f>
        <v>0</v>
      </c>
      <c r="AD353" s="7">
        <f>IF(B353&lt;65,'Retirement Planning'!$J$29/12,0)</f>
        <v>0</v>
      </c>
      <c r="AE353" s="22">
        <f>'Retirement Planning'!$J$31/12</f>
        <v>58.333333333333336</v>
      </c>
      <c r="AF353" s="22">
        <f>'Retirement Planning'!$J$32/12</f>
        <v>66.666666666666671</v>
      </c>
      <c r="AG353" s="7">
        <f>IF($B353&gt;64.9,'Retirement Planning'!$J$39/12,0)</f>
        <v>183.33333333333334</v>
      </c>
      <c r="AH353" s="7">
        <f>IF($B353&gt;64.9,'Retirement Planning'!$J$40/12,0)</f>
        <v>258.33333333333331</v>
      </c>
      <c r="AI353" s="7">
        <f>IF($B353&gt;64.9,'Retirement Planning'!$J$41/12,0)</f>
        <v>558.33333333333337</v>
      </c>
      <c r="AJ353" s="7">
        <f t="shared" ca="1" si="144"/>
        <v>316.66666666666663</v>
      </c>
      <c r="AK353" s="3" t="str">
        <f t="shared" ca="1" si="145"/>
        <v>N/A</v>
      </c>
      <c r="AL353" s="6" t="str">
        <f t="shared" ca="1" si="146"/>
        <v>N/A</v>
      </c>
      <c r="AM353" s="7">
        <f t="shared" ca="1" si="147"/>
        <v>-2.5011104298755527E-12</v>
      </c>
      <c r="AN353" s="7">
        <f t="shared" ca="1" si="148"/>
        <v>18500.253348344457</v>
      </c>
      <c r="AO353" s="7">
        <f t="shared" si="149"/>
        <v>1125</v>
      </c>
    </row>
    <row r="354" spans="1:41" x14ac:dyDescent="0.2">
      <c r="A354">
        <f t="shared" si="150"/>
        <v>50</v>
      </c>
      <c r="B354" s="5">
        <f t="shared" si="151"/>
        <v>85</v>
      </c>
      <c r="C354" s="56">
        <f t="shared" si="152"/>
        <v>56888</v>
      </c>
      <c r="D354" s="57">
        <f ca="1">IF(AND(B353&lt;59.5,OR(B354&gt;59.5,B354=59.5)),(D353-E353+J353-K353)*(1+'Retirement Planning'!$J$23/12),(D353-E353)*(1+'Retirement Planning'!$J$23/12))</f>
        <v>831334.99853557686</v>
      </c>
      <c r="E354" s="58">
        <f t="shared" ca="1" si="139"/>
        <v>1815.1909935401436</v>
      </c>
      <c r="F354" s="57">
        <f ca="1">IF(AND(OR(B354&gt;59.5,B354=59.5),B353&lt;59.5),(F353-G353+L353-M353+N353-O353)*(1+'Retirement Planning'!$J$23/12),(F353-G353)*(1+'Retirement Planning'!$J$23/12))</f>
        <v>1254908.8867130624</v>
      </c>
      <c r="G354" s="58">
        <f ca="1">IF(AND($B$10&lt;55,B354&lt;59.5),'Retirement Planning'!$J$25,IF(OR(B354&gt;59.5,B354=59.5),MAX(0,MIN(F354,IF(D354&lt;2500,((Y354+AJ354+AA354))-X354,((Y354+AJ354+AA354)*'Retirement Planning'!$J$44)-X354))),0))</f>
        <v>13116.855212159009</v>
      </c>
      <c r="H354" s="255">
        <f ca="1">IF(MONTH(C354)=1,IF(B354&gt;69.5,F354/(INDEX('Retirement Planning'!D$1:D$264,(160+INT(B354))))/12,0),IF(F354=0,0,H353))</f>
        <v>12523.780056585327</v>
      </c>
      <c r="I354" s="262">
        <f t="shared" ca="1" si="140"/>
        <v>0</v>
      </c>
      <c r="J354" s="254">
        <f ca="1">IF(AND(B353&lt;59.5,OR(B354=59.5,B354&gt;59.5)),0,(J353-K353)*(1+'Retirement Planning'!$J$23/12))</f>
        <v>0</v>
      </c>
      <c r="K354" s="58">
        <f t="shared" ca="1" si="141"/>
        <v>0</v>
      </c>
      <c r="L354" s="57">
        <f>IF(AND(OR(B354&gt;59.5,B354=59.5),B353&lt;59.5),0,(L353-M353)*(1+'Retirement Planning'!$J$23/12))</f>
        <v>0</v>
      </c>
      <c r="M354" s="59">
        <f>IF(AND($B$10&lt;55,B354&lt;59.5),0,IF(B354&lt;59.5,MAX(0,MIN((($Y354+$AJ354+AA354)*'Retirement Planning'!$J$44)-$G354-$X354,L354)),0))</f>
        <v>0</v>
      </c>
      <c r="N354" s="57">
        <f ca="1">(N353-O353)*(1+'Retirement Planning'!$J$23/12)</f>
        <v>0</v>
      </c>
      <c r="O354" s="59">
        <f ca="1">IF(B354&gt;59.5,MAX(0,MIN((AA354+$Y354+$AJ354)*(IF(D354&lt;(MIN(E342:E353)+1),1,'Retirement Planning'!$J$44))-M354-$G354-$X354-(IF(D354&lt;(MIN(E342:E353)+1),D354,0)),N354)),0)</f>
        <v>0</v>
      </c>
      <c r="P354" s="57">
        <f t="shared" si="153"/>
        <v>0</v>
      </c>
      <c r="Q354" s="58">
        <f t="shared" si="154"/>
        <v>0</v>
      </c>
      <c r="R354" s="57">
        <f ca="1">(R353-S353-T353)*(1+'Retirement Planning'!$J$23/12)</f>
        <v>1113220.9452555443</v>
      </c>
      <c r="S354" s="58">
        <f t="shared" ca="1" si="155"/>
        <v>808.33333333333337</v>
      </c>
      <c r="T354" s="273">
        <f t="shared" ca="1" si="142"/>
        <v>-9.0949470177292824E-13</v>
      </c>
      <c r="U354" s="57">
        <f ca="1">(U353-V353)*(1+'Retirement Planning'!$J$23/12)</f>
        <v>679983.50461126317</v>
      </c>
      <c r="V354" s="24">
        <f ca="1">IF(AND($B$10&lt;55,B354&lt;59.5),MIN(U354,MAX(0,(Y354+AA354+AJ354-G354)*'Retirement Planning'!$J$45)),IF(B354&lt;59.5,(MIN(U354,MAX(0,((Y354+AA354+AJ354)-G354-M354)*'Retirement Planning'!$J$45))),MIN(U354,MAX(0,(Y354+AA354+AJ354-G354-M354-K354-X354)*'Retirement Planning'!$J$45))))</f>
        <v>1546.2738093119731</v>
      </c>
      <c r="W354" s="7">
        <f t="shared" ca="1" si="143"/>
        <v>3879448.3351154467</v>
      </c>
      <c r="X354" s="7">
        <f>(IF(B354&gt;'Retirement Planning'!$J$34,IF('Retirement Planning'!$J$34=70,'Retirement Planning'!$J$37/12,IF('Retirement Planning'!$J$34=67,'Retirement Planning'!$J$36/12,'Retirement Planning'!$J$35/12)),0))*'Retirement Planning'!$J$38</f>
        <v>1213.6000000000001</v>
      </c>
      <c r="Y354" s="7">
        <f ca="1">'Retirement Planning'!$F$35*((1+'Retirement Planning'!$J$24)^(YEAR('Projected Retirement Drawdown'!C354)-YEAR(TODAY())))</f>
        <v>13602.69664870897</v>
      </c>
      <c r="Z354" s="7">
        <f ca="1">G354+M354+O354+0.85*X354+V354*'Retirement Planning'!$J$46+T354</f>
        <v>14998.865807280592</v>
      </c>
      <c r="AA354" s="7">
        <f ca="1">IF(MONTH(C354)=1,(((MIN(MAX(0,((SUM(Z342:Z353)-'Retirement Planning'!$I$53-'Retirement Planning'!$I$54)-'Retirement Planning'!$J$51)*'Retirement Planning'!$I$52))))+(MIN(MAX(0,((SUM(Z342:Z353)-'Retirement Planning'!$I$53-'Retirement Planning'!$I$54)-'Retirement Planning'!$J$50)*'Retirement Planning'!$I$51),('Retirement Planning'!$J$51-'Retirement Planning'!$J$50)*'Retirement Planning'!$I$51))+(MIN(MAX(0,((SUM(Z342:Z353)-'Retirement Planning'!$I$53-'Retirement Planning'!$I$54)-'Retirement Planning'!$J$49)*'Retirement Planning'!$I$50),('Retirement Planning'!$J$50-'Retirement Planning'!$J$49)*'Retirement Planning'!$I$50)+MIN(MAX(0,((SUM(Z342:Z353)-'Retirement Planning'!$I$53-'Retirement Planning'!$I$54)-'Retirement Planning'!$J$48)*'Retirement Planning'!$I$49),('Retirement Planning'!$J$49-'Retirement Planning'!$J$48)*'Retirement Planning'!$I$49)+MIN(((SUM(Z342:Z353)-'Retirement Planning'!$I$53-'Retirement Planning'!$I$54))*'Retirement Planning'!$I$48,('Retirement Planning'!$J$48)*'Retirement Planning'!$I$48))+(IF((SUM(Z342:Z353)-'Retirement Planning'!$I$54-'Retirement Planning'!$I$61)&gt;'Retirement Planning'!$J$59,(SUM(Z342:Z353)-'Retirement Planning'!$I$54-'Retirement Planning'!$I$61-'Retirement Planning'!$J$59)*'Retirement Planning'!$I$60+'Retirement Planning'!$K$59,IF((SUM(Z342:Z353)-'Retirement Planning'!$I$54-'Retirement Planning'!$I$61)&gt;'Retirement Planning'!$J$58,(SUM(Z342:Z353)-'Retirement Planning'!$I$54-'Retirement Planning'!$I$61-'Retirement Planning'!$J$58)*'Retirement Planning'!$I$59+'Retirement Planning'!$K$58,IF((SUM(Z342:Z353)-'Retirement Planning'!$I$54-'Retirement Planning'!$I$61)&gt;'Retirement Planning'!$J$57,(SUM(Z342:Z353)-'Retirement Planning'!$I$54-'Retirement Planning'!$I$61-'Retirement Planning'!$J$57)*'Retirement Planning'!$I$58+'Retirement Planning'!$K$57,IF((SUM(Z342:Z353)-'Retirement Planning'!$I$54-'Retirement Planning'!$I$61)&gt;'Retirement Planning'!$J$56,(SUM(Z342:Z353)-'Retirement Planning'!$I$54-'Retirement Planning'!$I$61-'Retirement Planning'!$J$56)*'Retirement Planning'!$I$57+'Retirement Planning'!$K$56,(SUM(Z342:Z353)-'Retirement Planning'!$I$54-'Retirement Planning'!$I$61)*'Retirement Planning'!$I$56))))))/12,AA353)</f>
        <v>3772.5566996354846</v>
      </c>
      <c r="AB354" s="104">
        <f t="shared" ca="1" si="134"/>
        <v>0.26092449238154836</v>
      </c>
      <c r="AC354" s="7">
        <f>IF(B354&lt;65,'Retirement Planning'!$J$28,0)</f>
        <v>0</v>
      </c>
      <c r="AD354" s="7">
        <f>IF(B354&lt;65,'Retirement Planning'!$J$29/12,0)</f>
        <v>0</v>
      </c>
      <c r="AE354" s="22">
        <f>'Retirement Planning'!$J$31/12</f>
        <v>58.333333333333336</v>
      </c>
      <c r="AF354" s="22">
        <f>'Retirement Planning'!$J$32/12</f>
        <v>66.666666666666671</v>
      </c>
      <c r="AG354" s="7">
        <f>IF($B354&gt;64.9,'Retirement Planning'!$J$39/12,0)</f>
        <v>183.33333333333334</v>
      </c>
      <c r="AH354" s="7">
        <f>IF($B354&gt;64.9,'Retirement Planning'!$J$40/12,0)</f>
        <v>258.33333333333331</v>
      </c>
      <c r="AI354" s="7">
        <f>IF($B354&gt;64.9,'Retirement Planning'!$J$41/12,0)</f>
        <v>558.33333333333337</v>
      </c>
      <c r="AJ354" s="7">
        <f t="shared" ca="1" si="144"/>
        <v>316.66666666666663</v>
      </c>
      <c r="AK354" s="3" t="str">
        <f t="shared" ca="1" si="145"/>
        <v>N/A</v>
      </c>
      <c r="AL354" s="6" t="str">
        <f t="shared" ca="1" si="146"/>
        <v>N/A</v>
      </c>
      <c r="AM354" s="7">
        <f t="shared" ca="1" si="147"/>
        <v>-2.5011104298755527E-12</v>
      </c>
      <c r="AN354" s="7">
        <f t="shared" ca="1" si="148"/>
        <v>18500.253348344457</v>
      </c>
      <c r="AO354" s="7">
        <f t="shared" si="149"/>
        <v>1125</v>
      </c>
    </row>
    <row r="355" spans="1:41" x14ac:dyDescent="0.2">
      <c r="A355">
        <f t="shared" si="150"/>
        <v>50</v>
      </c>
      <c r="B355" s="5">
        <f t="shared" si="151"/>
        <v>85</v>
      </c>
      <c r="C355" s="56">
        <f t="shared" si="152"/>
        <v>56919</v>
      </c>
      <c r="D355" s="57">
        <f ca="1">IF(AND(B354&lt;59.5,OR(B355&gt;59.5,B355=59.5)),(D354-E354+J354-K354)*(1+'Retirement Planning'!$J$23/12),(D354-E354)*(1+'Retirement Planning'!$J$23/12))</f>
        <v>835395.57284545957</v>
      </c>
      <c r="E355" s="58">
        <f t="shared" ca="1" si="139"/>
        <v>1815.1909935401436</v>
      </c>
      <c r="F355" s="57">
        <f ca="1">IF(AND(OR(B355&gt;59.5,B355=59.5),B354&lt;59.5),(F354-G354+L354-M354+N354-O354)*(1+'Retirement Planning'!$J$23/12),(F354-G354)*(1+'Retirement Planning'!$J$23/12))</f>
        <v>1250588.0583907014</v>
      </c>
      <c r="G355" s="58">
        <f ca="1">IF(AND($B$10&lt;55,B355&lt;59.5),'Retirement Planning'!$J$25,IF(OR(B355&gt;59.5,B355=59.5),MAX(0,MIN(F355,IF(D355&lt;2500,((Y355+AJ355+AA355))-X355,((Y355+AJ355+AA355)*'Retirement Planning'!$J$44)-X355))),0))</f>
        <v>13116.855212159009</v>
      </c>
      <c r="H355" s="255">
        <f ca="1">IF(MONTH(C355)=1,IF(B355&gt;69.5,F355/(INDEX('Retirement Planning'!D$1:D$264,(160+INT(B355))))/12,0),IF(F355=0,0,H354))</f>
        <v>12523.780056585327</v>
      </c>
      <c r="I355" s="262">
        <f t="shared" ca="1" si="140"/>
        <v>0</v>
      </c>
      <c r="J355" s="254">
        <f ca="1">IF(AND(B354&lt;59.5,OR(B355=59.5,B355&gt;59.5)),0,(J354-K354)*(1+'Retirement Planning'!$J$23/12))</f>
        <v>0</v>
      </c>
      <c r="K355" s="58">
        <f t="shared" ca="1" si="141"/>
        <v>0</v>
      </c>
      <c r="L355" s="57">
        <f>IF(AND(OR(B355&gt;59.5,B355=59.5),B354&lt;59.5),0,(L354-M354)*(1+'Retirement Planning'!$J$23/12))</f>
        <v>0</v>
      </c>
      <c r="M355" s="59">
        <f>IF(AND($B$10&lt;55,B355&lt;59.5),0,IF(B355&lt;59.5,MAX(0,MIN((($Y355+$AJ355+AA355)*'Retirement Planning'!$J$44)-$G355-$X355,L355)),0))</f>
        <v>0</v>
      </c>
      <c r="N355" s="57">
        <f ca="1">(N354-O354)*(1+'Retirement Planning'!$J$23/12)</f>
        <v>0</v>
      </c>
      <c r="O355" s="59">
        <f ca="1">IF(B355&gt;59.5,MAX(0,MIN((AA355+$Y355+$AJ355)*(IF(D355&lt;(MIN(E343:E354)+1),1,'Retirement Planning'!$J$44))-M355-$G355-$X355-(IF(D355&lt;(MIN(E343:E354)+1),D355,0)),N355)),0)</f>
        <v>0</v>
      </c>
      <c r="P355" s="57">
        <f t="shared" si="153"/>
        <v>0</v>
      </c>
      <c r="Q355" s="58">
        <f t="shared" si="154"/>
        <v>0</v>
      </c>
      <c r="R355" s="57">
        <f ca="1">(R354-S354-T354)*(1+'Retirement Planning'!$J$23/12)</f>
        <v>1120292.20125666</v>
      </c>
      <c r="S355" s="58">
        <f t="shared" ca="1" si="155"/>
        <v>808.33333333333337</v>
      </c>
      <c r="T355" s="273">
        <f t="shared" ca="1" si="142"/>
        <v>-9.0949470177292824E-13</v>
      </c>
      <c r="U355" s="57">
        <f ca="1">(U354-V354)*(1+'Retirement Planning'!$J$23/12)</f>
        <v>683242.82785346499</v>
      </c>
      <c r="V355" s="24">
        <f ca="1">IF(AND($B$10&lt;55,B355&lt;59.5),MIN(U355,MAX(0,(Y355+AA355+AJ355-G355)*'Retirement Planning'!$J$45)),IF(B355&lt;59.5,(MIN(U355,MAX(0,((Y355+AA355+AJ355)-G355-M355)*'Retirement Planning'!$J$45))),MIN(U355,MAX(0,(Y355+AA355+AJ355-G355-M355-K355-X355)*'Retirement Planning'!$J$45))))</f>
        <v>1546.2738093119731</v>
      </c>
      <c r="W355" s="7">
        <f t="shared" ca="1" si="143"/>
        <v>3889518.6603462859</v>
      </c>
      <c r="X355" s="7">
        <f>(IF(B355&gt;'Retirement Planning'!$J$34,IF('Retirement Planning'!$J$34=70,'Retirement Planning'!$J$37/12,IF('Retirement Planning'!$J$34=67,'Retirement Planning'!$J$36/12,'Retirement Planning'!$J$35/12)),0))*'Retirement Planning'!$J$38</f>
        <v>1213.6000000000001</v>
      </c>
      <c r="Y355" s="7">
        <f ca="1">'Retirement Planning'!$F$35*((1+'Retirement Planning'!$J$24)^(YEAR('Projected Retirement Drawdown'!C355)-YEAR(TODAY())))</f>
        <v>13602.69664870897</v>
      </c>
      <c r="Z355" s="7">
        <f ca="1">G355+M355+O355+0.85*X355+V355*'Retirement Planning'!$J$46+T355</f>
        <v>14998.865807280592</v>
      </c>
      <c r="AA355" s="7">
        <f ca="1">IF(MONTH(C355)=1,(((MIN(MAX(0,((SUM(Z343:Z354)-'Retirement Planning'!$I$53-'Retirement Planning'!$I$54)-'Retirement Planning'!$J$51)*'Retirement Planning'!$I$52))))+(MIN(MAX(0,((SUM(Z343:Z354)-'Retirement Planning'!$I$53-'Retirement Planning'!$I$54)-'Retirement Planning'!$J$50)*'Retirement Planning'!$I$51),('Retirement Planning'!$J$51-'Retirement Planning'!$J$50)*'Retirement Planning'!$I$51))+(MIN(MAX(0,((SUM(Z343:Z354)-'Retirement Planning'!$I$53-'Retirement Planning'!$I$54)-'Retirement Planning'!$J$49)*'Retirement Planning'!$I$50),('Retirement Planning'!$J$50-'Retirement Planning'!$J$49)*'Retirement Planning'!$I$50)+MIN(MAX(0,((SUM(Z343:Z354)-'Retirement Planning'!$I$53-'Retirement Planning'!$I$54)-'Retirement Planning'!$J$48)*'Retirement Planning'!$I$49),('Retirement Planning'!$J$49-'Retirement Planning'!$J$48)*'Retirement Planning'!$I$49)+MIN(((SUM(Z343:Z354)-'Retirement Planning'!$I$53-'Retirement Planning'!$I$54))*'Retirement Planning'!$I$48,('Retirement Planning'!$J$48)*'Retirement Planning'!$I$48))+(IF((SUM(Z343:Z354)-'Retirement Planning'!$I$54-'Retirement Planning'!$I$61)&gt;'Retirement Planning'!$J$59,(SUM(Z343:Z354)-'Retirement Planning'!$I$54-'Retirement Planning'!$I$61-'Retirement Planning'!$J$59)*'Retirement Planning'!$I$60+'Retirement Planning'!$K$59,IF((SUM(Z343:Z354)-'Retirement Planning'!$I$54-'Retirement Planning'!$I$61)&gt;'Retirement Planning'!$J$58,(SUM(Z343:Z354)-'Retirement Planning'!$I$54-'Retirement Planning'!$I$61-'Retirement Planning'!$J$58)*'Retirement Planning'!$I$59+'Retirement Planning'!$K$58,IF((SUM(Z343:Z354)-'Retirement Planning'!$I$54-'Retirement Planning'!$I$61)&gt;'Retirement Planning'!$J$57,(SUM(Z343:Z354)-'Retirement Planning'!$I$54-'Retirement Planning'!$I$61-'Retirement Planning'!$J$57)*'Retirement Planning'!$I$58+'Retirement Planning'!$K$57,IF((SUM(Z343:Z354)-'Retirement Planning'!$I$54-'Retirement Planning'!$I$61)&gt;'Retirement Planning'!$J$56,(SUM(Z343:Z354)-'Retirement Planning'!$I$54-'Retirement Planning'!$I$61-'Retirement Planning'!$J$56)*'Retirement Planning'!$I$57+'Retirement Planning'!$K$56,(SUM(Z343:Z354)-'Retirement Planning'!$I$54-'Retirement Planning'!$I$61)*'Retirement Planning'!$I$56))))))/12,AA354)</f>
        <v>3772.5566996354846</v>
      </c>
      <c r="AB355" s="104">
        <f t="shared" ca="1" si="134"/>
        <v>0.26092449238154836</v>
      </c>
      <c r="AC355" s="7">
        <f>IF(B355&lt;65,'Retirement Planning'!$J$28,0)</f>
        <v>0</v>
      </c>
      <c r="AD355" s="7">
        <f>IF(B355&lt;65,'Retirement Planning'!$J$29/12,0)</f>
        <v>0</v>
      </c>
      <c r="AE355" s="22">
        <f>'Retirement Planning'!$J$31/12</f>
        <v>58.333333333333336</v>
      </c>
      <c r="AF355" s="22">
        <f>'Retirement Planning'!$J$32/12</f>
        <v>66.666666666666671</v>
      </c>
      <c r="AG355" s="7">
        <f>IF($B355&gt;64.9,'Retirement Planning'!$J$39/12,0)</f>
        <v>183.33333333333334</v>
      </c>
      <c r="AH355" s="7">
        <f>IF($B355&gt;64.9,'Retirement Planning'!$J$40/12,0)</f>
        <v>258.33333333333331</v>
      </c>
      <c r="AI355" s="7">
        <f>IF($B355&gt;64.9,'Retirement Planning'!$J$41/12,0)</f>
        <v>558.33333333333337</v>
      </c>
      <c r="AJ355" s="7">
        <f t="shared" ca="1" si="144"/>
        <v>316.66666666666663</v>
      </c>
      <c r="AK355" s="3" t="str">
        <f t="shared" ca="1" si="145"/>
        <v>N/A</v>
      </c>
      <c r="AL355" s="6" t="str">
        <f t="shared" ca="1" si="146"/>
        <v>N/A</v>
      </c>
      <c r="AM355" s="7">
        <f t="shared" ca="1" si="147"/>
        <v>-2.5011104298755527E-12</v>
      </c>
      <c r="AN355" s="7">
        <f t="shared" ca="1" si="148"/>
        <v>18500.253348344457</v>
      </c>
      <c r="AO355" s="7">
        <f t="shared" si="149"/>
        <v>1125</v>
      </c>
    </row>
    <row r="356" spans="1:41" x14ac:dyDescent="0.2">
      <c r="A356">
        <f t="shared" si="150"/>
        <v>50</v>
      </c>
      <c r="B356" s="5">
        <f t="shared" si="151"/>
        <v>85.1</v>
      </c>
      <c r="C356" s="56">
        <f t="shared" si="152"/>
        <v>56949</v>
      </c>
      <c r="D356" s="57">
        <f ca="1">IF(AND(B355&lt;59.5,OR(B356&gt;59.5,B356=59.5)),(D355-E355+J355-K355)*(1+'Retirement Planning'!$J$23/12),(D355-E355)*(1+'Retirement Planning'!$J$23/12))</f>
        <v>839484.90955670387</v>
      </c>
      <c r="E356" s="58">
        <f t="shared" ca="1" si="139"/>
        <v>1815.1909935401436</v>
      </c>
      <c r="F356" s="57">
        <f ca="1">IF(AND(OR(B356&gt;59.5,B356=59.5),B355&lt;59.5),(F355-G355+L355-M355+N355-O355)*(1+'Retirement Planning'!$J$23/12),(F355-G355)*(1+'Retirement Planning'!$J$23/12))</f>
        <v>1246236.624201057</v>
      </c>
      <c r="G356" s="58">
        <f ca="1">IF(AND($B$10&lt;55,B356&lt;59.5),'Retirement Planning'!$J$25,IF(OR(B356&gt;59.5,B356=59.5),MAX(0,MIN(F356,IF(D356&lt;2500,((Y356+AJ356+AA356))-X356,((Y356+AJ356+AA356)*'Retirement Planning'!$J$44)-X356))),0))</f>
        <v>13116.855212159009</v>
      </c>
      <c r="H356" s="255">
        <f ca="1">IF(MONTH(C356)=1,IF(B356&gt;69.5,F356/(INDEX('Retirement Planning'!D$1:D$264,(160+INT(B356))))/12,0),IF(F356=0,0,H355))</f>
        <v>12523.780056585327</v>
      </c>
      <c r="I356" s="262">
        <f t="shared" ca="1" si="140"/>
        <v>0</v>
      </c>
      <c r="J356" s="254">
        <f ca="1">IF(AND(B355&lt;59.5,OR(B356=59.5,B356&gt;59.5)),0,(J355-K355)*(1+'Retirement Planning'!$J$23/12))</f>
        <v>0</v>
      </c>
      <c r="K356" s="58">
        <f t="shared" ca="1" si="141"/>
        <v>0</v>
      </c>
      <c r="L356" s="57">
        <f>IF(AND(OR(B356&gt;59.5,B356=59.5),B355&lt;59.5),0,(L355-M355)*(1+'Retirement Planning'!$J$23/12))</f>
        <v>0</v>
      </c>
      <c r="M356" s="59">
        <f>IF(AND($B$10&lt;55,B356&lt;59.5),0,IF(B356&lt;59.5,MAX(0,MIN((($Y356+$AJ356+AA356)*'Retirement Planning'!$J$44)-$G356-$X356,L356)),0))</f>
        <v>0</v>
      </c>
      <c r="N356" s="57">
        <f ca="1">(N355-O355)*(1+'Retirement Planning'!$J$23/12)</f>
        <v>0</v>
      </c>
      <c r="O356" s="59">
        <f ca="1">IF(B356&gt;59.5,MAX(0,MIN((AA356+$Y356+$AJ356)*(IF(D356&lt;(MIN(E344:E355)+1),1,'Retirement Planning'!$J$44))-M356-$G356-$X356-(IF(D356&lt;(MIN(E344:E355)+1),D356,0)),N356)),0)</f>
        <v>0</v>
      </c>
      <c r="P356" s="57">
        <f t="shared" si="153"/>
        <v>0</v>
      </c>
      <c r="Q356" s="58">
        <f t="shared" si="154"/>
        <v>0</v>
      </c>
      <c r="R356" s="57">
        <f ca="1">(R355-S355-T355)*(1+'Retirement Planning'!$J$23/12)</f>
        <v>1127413.5453211169</v>
      </c>
      <c r="S356" s="58">
        <f t="shared" ca="1" si="155"/>
        <v>808.33333333333337</v>
      </c>
      <c r="T356" s="273">
        <f t="shared" ca="1" si="142"/>
        <v>-9.0949470177292824E-13</v>
      </c>
      <c r="U356" s="57">
        <f ca="1">(U355-V355)*(1+'Retirement Planning'!$J$23/12)</f>
        <v>686525.23796863237</v>
      </c>
      <c r="V356" s="24">
        <f ca="1">IF(AND($B$10&lt;55,B356&lt;59.5),MIN(U356,MAX(0,(Y356+AA356+AJ356-G356)*'Retirement Planning'!$J$45)),IF(B356&lt;59.5,(MIN(U356,MAX(0,((Y356+AA356+AJ356)-G356-M356)*'Retirement Planning'!$J$45))),MIN(U356,MAX(0,(Y356+AA356+AJ356-G356-M356-K356-X356)*'Retirement Planning'!$J$45))))</f>
        <v>1546.2738093119731</v>
      </c>
      <c r="W356" s="7">
        <f t="shared" ca="1" si="143"/>
        <v>3899660.3170475103</v>
      </c>
      <c r="X356" s="7">
        <f>(IF(B356&gt;'Retirement Planning'!$J$34,IF('Retirement Planning'!$J$34=70,'Retirement Planning'!$J$37/12,IF('Retirement Planning'!$J$34=67,'Retirement Planning'!$J$36/12,'Retirement Planning'!$J$35/12)),0))*'Retirement Planning'!$J$38</f>
        <v>1213.6000000000001</v>
      </c>
      <c r="Y356" s="7">
        <f ca="1">'Retirement Planning'!$F$35*((1+'Retirement Planning'!$J$24)^(YEAR('Projected Retirement Drawdown'!C356)-YEAR(TODAY())))</f>
        <v>13602.69664870897</v>
      </c>
      <c r="Z356" s="7">
        <f ca="1">G356+M356+O356+0.85*X356+V356*'Retirement Planning'!$J$46+T356</f>
        <v>14998.865807280592</v>
      </c>
      <c r="AA356" s="7">
        <f ca="1">IF(MONTH(C356)=1,(((MIN(MAX(0,((SUM(Z344:Z355)-'Retirement Planning'!$I$53-'Retirement Planning'!$I$54)-'Retirement Planning'!$J$51)*'Retirement Planning'!$I$52))))+(MIN(MAX(0,((SUM(Z344:Z355)-'Retirement Planning'!$I$53-'Retirement Planning'!$I$54)-'Retirement Planning'!$J$50)*'Retirement Planning'!$I$51),('Retirement Planning'!$J$51-'Retirement Planning'!$J$50)*'Retirement Planning'!$I$51))+(MIN(MAX(0,((SUM(Z344:Z355)-'Retirement Planning'!$I$53-'Retirement Planning'!$I$54)-'Retirement Planning'!$J$49)*'Retirement Planning'!$I$50),('Retirement Planning'!$J$50-'Retirement Planning'!$J$49)*'Retirement Planning'!$I$50)+MIN(MAX(0,((SUM(Z344:Z355)-'Retirement Planning'!$I$53-'Retirement Planning'!$I$54)-'Retirement Planning'!$J$48)*'Retirement Planning'!$I$49),('Retirement Planning'!$J$49-'Retirement Planning'!$J$48)*'Retirement Planning'!$I$49)+MIN(((SUM(Z344:Z355)-'Retirement Planning'!$I$53-'Retirement Planning'!$I$54))*'Retirement Planning'!$I$48,('Retirement Planning'!$J$48)*'Retirement Planning'!$I$48))+(IF((SUM(Z344:Z355)-'Retirement Planning'!$I$54-'Retirement Planning'!$I$61)&gt;'Retirement Planning'!$J$59,(SUM(Z344:Z355)-'Retirement Planning'!$I$54-'Retirement Planning'!$I$61-'Retirement Planning'!$J$59)*'Retirement Planning'!$I$60+'Retirement Planning'!$K$59,IF((SUM(Z344:Z355)-'Retirement Planning'!$I$54-'Retirement Planning'!$I$61)&gt;'Retirement Planning'!$J$58,(SUM(Z344:Z355)-'Retirement Planning'!$I$54-'Retirement Planning'!$I$61-'Retirement Planning'!$J$58)*'Retirement Planning'!$I$59+'Retirement Planning'!$K$58,IF((SUM(Z344:Z355)-'Retirement Planning'!$I$54-'Retirement Planning'!$I$61)&gt;'Retirement Planning'!$J$57,(SUM(Z344:Z355)-'Retirement Planning'!$I$54-'Retirement Planning'!$I$61-'Retirement Planning'!$J$57)*'Retirement Planning'!$I$58+'Retirement Planning'!$K$57,IF((SUM(Z344:Z355)-'Retirement Planning'!$I$54-'Retirement Planning'!$I$61)&gt;'Retirement Planning'!$J$56,(SUM(Z344:Z355)-'Retirement Planning'!$I$54-'Retirement Planning'!$I$61-'Retirement Planning'!$J$56)*'Retirement Planning'!$I$57+'Retirement Planning'!$K$56,(SUM(Z344:Z355)-'Retirement Planning'!$I$54-'Retirement Planning'!$I$61)*'Retirement Planning'!$I$56))))))/12,AA355)</f>
        <v>3772.5566996354846</v>
      </c>
      <c r="AB356" s="104">
        <f t="shared" ca="1" si="134"/>
        <v>0.26092449238154836</v>
      </c>
      <c r="AC356" s="7">
        <f>IF(B356&lt;65,'Retirement Planning'!$J$28,0)</f>
        <v>0</v>
      </c>
      <c r="AD356" s="7">
        <f>IF(B356&lt;65,'Retirement Planning'!$J$29/12,0)</f>
        <v>0</v>
      </c>
      <c r="AE356" s="22">
        <f>'Retirement Planning'!$J$31/12</f>
        <v>58.333333333333336</v>
      </c>
      <c r="AF356" s="22">
        <f>'Retirement Planning'!$J$32/12</f>
        <v>66.666666666666671</v>
      </c>
      <c r="AG356" s="7">
        <f>IF($B356&gt;64.9,'Retirement Planning'!$J$39/12,0)</f>
        <v>183.33333333333334</v>
      </c>
      <c r="AH356" s="7">
        <f>IF($B356&gt;64.9,'Retirement Planning'!$J$40/12,0)</f>
        <v>258.33333333333331</v>
      </c>
      <c r="AI356" s="7">
        <f>IF($B356&gt;64.9,'Retirement Planning'!$J$41/12,0)</f>
        <v>558.33333333333337</v>
      </c>
      <c r="AJ356" s="7">
        <f t="shared" ca="1" si="144"/>
        <v>316.66666666666663</v>
      </c>
      <c r="AK356" s="3" t="str">
        <f t="shared" ca="1" si="145"/>
        <v>N/A</v>
      </c>
      <c r="AL356" s="6" t="str">
        <f t="shared" ca="1" si="146"/>
        <v>N/A</v>
      </c>
      <c r="AM356" s="7">
        <f t="shared" ca="1" si="147"/>
        <v>-2.5011104298755527E-12</v>
      </c>
      <c r="AN356" s="7">
        <f t="shared" ca="1" si="148"/>
        <v>18500.253348344457</v>
      </c>
      <c r="AO356" s="7">
        <f t="shared" si="149"/>
        <v>1125</v>
      </c>
    </row>
    <row r="357" spans="1:41" x14ac:dyDescent="0.2">
      <c r="A357">
        <f t="shared" si="150"/>
        <v>50</v>
      </c>
      <c r="B357" s="5">
        <f t="shared" si="151"/>
        <v>85.2</v>
      </c>
      <c r="C357" s="56">
        <f t="shared" si="152"/>
        <v>56980</v>
      </c>
      <c r="D357" s="57">
        <f ca="1">IF(AND(B356&lt;59.5,OR(B357&gt;59.5,B357=59.5)),(D356-E356+J356-K356)*(1+'Retirement Planning'!$J$23/12),(D356-E356)*(1+'Retirement Planning'!$J$23/12))</f>
        <v>843603.21240298613</v>
      </c>
      <c r="E357" s="58">
        <f t="shared" ca="1" si="139"/>
        <v>1882.0815201195583</v>
      </c>
      <c r="F357" s="57">
        <f ca="1">IF(AND(OR(B357&gt;59.5,B357=59.5),B356&lt;59.5),(F356-G356+L356-M356+N356-O356)*(1+'Retirement Planning'!$J$23/12),(F356-G356)*(1+'Retirement Planning'!$J$23/12))</f>
        <v>1241854.3673525695</v>
      </c>
      <c r="G357" s="58">
        <f ca="1">IF(AND($B$10&lt;55,B357&lt;59.5),'Retirement Planning'!$J$25,IF(OR(B357&gt;59.5,B357=59.5),MAX(0,MIN(F357,IF(D357&lt;2500,((Y357+AJ357+AA357))-X357,((Y357+AJ357+AA357)*'Retirement Planning'!$J$44)-X357))),0))</f>
        <v>13644.938316733338</v>
      </c>
      <c r="H357" s="255">
        <f ca="1">IF(MONTH(C357)=1,IF(B357&gt;69.5,F357/(INDEX('Retirement Planning'!D$1:D$264,(160+INT(B357))))/12,0),IF(F357=0,0,H356))</f>
        <v>12776.279499512033</v>
      </c>
      <c r="I357" s="262">
        <f t="shared" ca="1" si="140"/>
        <v>0</v>
      </c>
      <c r="J357" s="254">
        <f ca="1">IF(AND(B356&lt;59.5,OR(B357=59.5,B357&gt;59.5)),0,(J356-K356)*(1+'Retirement Planning'!$J$23/12))</f>
        <v>0</v>
      </c>
      <c r="K357" s="58">
        <f t="shared" ca="1" si="141"/>
        <v>0</v>
      </c>
      <c r="L357" s="57">
        <f>IF(AND(OR(B357&gt;59.5,B357=59.5),B356&lt;59.5),0,(L356-M356)*(1+'Retirement Planning'!$J$23/12))</f>
        <v>0</v>
      </c>
      <c r="M357" s="59">
        <f>IF(AND($B$10&lt;55,B357&lt;59.5),0,IF(B357&lt;59.5,MAX(0,MIN((($Y357+$AJ357+AA357)*'Retirement Planning'!$J$44)-$G357-$X357,L357)),0))</f>
        <v>0</v>
      </c>
      <c r="N357" s="57">
        <f ca="1">(N356-O356)*(1+'Retirement Planning'!$J$23/12)</f>
        <v>0</v>
      </c>
      <c r="O357" s="59">
        <f ca="1">IF(B357&gt;59.5,MAX(0,MIN((AA357+$Y357+$AJ357)*(IF(D357&lt;(MIN(E345:E356)+1),1,'Retirement Planning'!$J$44))-M357-$G357-$X357-(IF(D357&lt;(MIN(E345:E356)+1),D357,0)),N357)),0)</f>
        <v>0</v>
      </c>
      <c r="P357" s="57">
        <f t="shared" si="153"/>
        <v>0</v>
      </c>
      <c r="Q357" s="58">
        <f t="shared" si="154"/>
        <v>0</v>
      </c>
      <c r="R357" s="57">
        <f ca="1">(R356-S356-T356)*(1+'Retirement Planning'!$J$23/12)</f>
        <v>1134585.3322393638</v>
      </c>
      <c r="S357" s="58">
        <f t="shared" ca="1" si="155"/>
        <v>808.33333333333337</v>
      </c>
      <c r="T357" s="273">
        <f t="shared" ca="1" si="142"/>
        <v>-3.637978807091713E-12</v>
      </c>
      <c r="U357" s="57">
        <f ca="1">(U356-V356)*(1+'Retirement Planning'!$J$23/12)</f>
        <v>689830.89848878223</v>
      </c>
      <c r="V357" s="24">
        <f ca="1">IF(AND($B$10&lt;55,B357&lt;59.5),MIN(U357,MAX(0,(Y357+AA357+AJ357-G357)*'Retirement Planning'!$J$45)),IF(B357&lt;59.5,(MIN(U357,MAX(0,((Y357+AA357+AJ357)-G357-M357)*'Retirement Planning'!$J$45))),MIN(U357,MAX(0,(Y357+AA357+AJ357-G357-M357-K357-X357)*'Retirement Planning'!$J$45))))</f>
        <v>1603.2546282499923</v>
      </c>
      <c r="W357" s="7">
        <f t="shared" ca="1" si="143"/>
        <v>3909873.8104837015</v>
      </c>
      <c r="X357" s="7">
        <f>(IF(B357&gt;'Retirement Planning'!$J$34,IF('Retirement Planning'!$J$34=70,'Retirement Planning'!$J$37/12,IF('Retirement Planning'!$J$34=67,'Retirement Planning'!$J$36/12,'Retirement Planning'!$J$35/12)),0))*'Retirement Planning'!$J$38</f>
        <v>1213.6000000000001</v>
      </c>
      <c r="Y357" s="7">
        <f ca="1">'Retirement Planning'!$F$35*((1+'Retirement Planning'!$J$24)^(YEAR('Projected Retirement Drawdown'!C357)-YEAR(TODAY())))</f>
        <v>14078.791031413783</v>
      </c>
      <c r="Z357" s="7">
        <f ca="1">G357+M357+O357+0.85*X357+V357*'Retirement Planning'!$J$46+T357</f>
        <v>15558.28836227083</v>
      </c>
      <c r="AA357" s="7">
        <f ca="1">IF(MONTH(C357)=1,(((MIN(MAX(0,((SUM(Z345:Z356)-'Retirement Planning'!$I$53-'Retirement Planning'!$I$54)-'Retirement Planning'!$J$51)*'Retirement Planning'!$I$52))))+(MIN(MAX(0,((SUM(Z345:Z356)-'Retirement Planning'!$I$53-'Retirement Planning'!$I$54)-'Retirement Planning'!$J$50)*'Retirement Planning'!$I$51),('Retirement Planning'!$J$51-'Retirement Planning'!$J$50)*'Retirement Planning'!$I$51))+(MIN(MAX(0,((SUM(Z345:Z356)-'Retirement Planning'!$I$53-'Retirement Planning'!$I$54)-'Retirement Planning'!$J$49)*'Retirement Planning'!$I$50),('Retirement Planning'!$J$50-'Retirement Planning'!$J$49)*'Retirement Planning'!$I$50)+MIN(MAX(0,((SUM(Z345:Z356)-'Retirement Planning'!$I$53-'Retirement Planning'!$I$54)-'Retirement Planning'!$J$48)*'Retirement Planning'!$I$49),('Retirement Planning'!$J$49-'Retirement Planning'!$J$48)*'Retirement Planning'!$I$49)+MIN(((SUM(Z345:Z356)-'Retirement Planning'!$I$53-'Retirement Planning'!$I$54))*'Retirement Planning'!$I$48,('Retirement Planning'!$J$48)*'Retirement Planning'!$I$48))+(IF((SUM(Z345:Z356)-'Retirement Planning'!$I$54-'Retirement Planning'!$I$61)&gt;'Retirement Planning'!$J$59,(SUM(Z345:Z356)-'Retirement Planning'!$I$54-'Retirement Planning'!$I$61-'Retirement Planning'!$J$59)*'Retirement Planning'!$I$60+'Retirement Planning'!$K$59,IF((SUM(Z345:Z356)-'Retirement Planning'!$I$54-'Retirement Planning'!$I$61)&gt;'Retirement Planning'!$J$58,(SUM(Z345:Z356)-'Retirement Planning'!$I$54-'Retirement Planning'!$I$61-'Retirement Planning'!$J$58)*'Retirement Planning'!$I$59+'Retirement Planning'!$K$58,IF((SUM(Z345:Z356)-'Retirement Planning'!$I$54-'Retirement Planning'!$I$61)&gt;'Retirement Planning'!$J$57,(SUM(Z345:Z356)-'Retirement Planning'!$I$54-'Retirement Planning'!$I$61-'Retirement Planning'!$J$57)*'Retirement Planning'!$I$58+'Retirement Planning'!$K$57,IF((SUM(Z345:Z356)-'Retirement Planning'!$I$54-'Retirement Planning'!$I$61)&gt;'Retirement Planning'!$J$56,(SUM(Z345:Z356)-'Retirement Planning'!$I$54-'Retirement Planning'!$I$61-'Retirement Planning'!$J$56)*'Retirement Planning'!$I$57+'Retirement Planning'!$K$56,(SUM(Z345:Z356)-'Retirement Planning'!$I$54-'Retirement Planning'!$I$61)*'Retirement Planning'!$I$56))))))/12,AA356)</f>
        <v>3948.4167670224365</v>
      </c>
      <c r="AB357" s="104">
        <f t="shared" ref="AB357" ca="1" si="160">SUM(AA357:AA368)/SUM(Z345:Z356)</f>
        <v>0.26324768937567522</v>
      </c>
      <c r="AC357" s="7">
        <f>IF(B357&lt;65,'Retirement Planning'!$J$28,0)</f>
        <v>0</v>
      </c>
      <c r="AD357" s="7">
        <f>IF(B357&lt;65,'Retirement Planning'!$J$29/12,0)</f>
        <v>0</v>
      </c>
      <c r="AE357" s="22">
        <f>'Retirement Planning'!$J$31/12</f>
        <v>58.333333333333336</v>
      </c>
      <c r="AF357" s="22">
        <f>'Retirement Planning'!$J$32/12</f>
        <v>66.666666666666671</v>
      </c>
      <c r="AG357" s="7">
        <f>IF($B357&gt;64.9,'Retirement Planning'!$J$39/12,0)</f>
        <v>183.33333333333334</v>
      </c>
      <c r="AH357" s="7">
        <f>IF($B357&gt;64.9,'Retirement Planning'!$J$40/12,0)</f>
        <v>258.33333333333331</v>
      </c>
      <c r="AI357" s="7">
        <f>IF($B357&gt;64.9,'Retirement Planning'!$J$41/12,0)</f>
        <v>558.33333333333337</v>
      </c>
      <c r="AJ357" s="7">
        <f t="shared" ca="1" si="144"/>
        <v>316.66666666666663</v>
      </c>
      <c r="AK357" s="3" t="str">
        <f t="shared" ca="1" si="145"/>
        <v>N/A</v>
      </c>
      <c r="AL357" s="6" t="str">
        <f t="shared" ca="1" si="146"/>
        <v>N/A</v>
      </c>
      <c r="AM357" s="7">
        <f t="shared" ca="1" si="147"/>
        <v>-6.8212102632969618E-13</v>
      </c>
      <c r="AN357" s="7">
        <f t="shared" ca="1" si="148"/>
        <v>19152.207798436219</v>
      </c>
      <c r="AO357" s="7">
        <f t="shared" si="149"/>
        <v>1125</v>
      </c>
    </row>
    <row r="358" spans="1:41" x14ac:dyDescent="0.2">
      <c r="A358">
        <f t="shared" si="150"/>
        <v>50</v>
      </c>
      <c r="B358" s="5">
        <f t="shared" si="151"/>
        <v>85.3</v>
      </c>
      <c r="C358" s="56">
        <f t="shared" si="152"/>
        <v>57011</v>
      </c>
      <c r="D358" s="57">
        <f ca="1">IF(AND(B357&lt;59.5,OR(B358&gt;59.5,B358=59.5)),(D357-E357+J357-K357)*(1+'Retirement Planning'!$J$23/12),(D357-E357)*(1+'Retirement Planning'!$J$23/12))</f>
        <v>847683.32222662016</v>
      </c>
      <c r="E358" s="58">
        <f t="shared" ca="1" si="139"/>
        <v>1882.0815201195583</v>
      </c>
      <c r="F358" s="57">
        <f ca="1">IF(AND(OR(B358&gt;59.5,B358=59.5),B357&lt;59.5),(F357-G357+L357-M357+N357-O357)*(1+'Retirement Planning'!$J$23/12),(F357-G357)*(1+'Retirement Planning'!$J$23/12))</f>
        <v>1236909.2458248399</v>
      </c>
      <c r="G358" s="58">
        <f ca="1">IF(AND($B$10&lt;55,B358&lt;59.5),'Retirement Planning'!$J$25,IF(OR(B358&gt;59.5,B358=59.5),MAX(0,MIN(F358,IF(D358&lt;2500,((Y358+AJ358+AA358))-X358,((Y358+AJ358+AA358)*'Retirement Planning'!$J$44)-X358))),0))</f>
        <v>13644.938316733338</v>
      </c>
      <c r="H358" s="255">
        <f ca="1">IF(MONTH(C358)=1,IF(B358&gt;69.5,F358/(INDEX('Retirement Planning'!D$1:D$264,(160+INT(B358))))/12,0),IF(F358=0,0,H357))</f>
        <v>12776.279499512033</v>
      </c>
      <c r="I358" s="262">
        <f t="shared" ca="1" si="140"/>
        <v>0</v>
      </c>
      <c r="J358" s="254">
        <f ca="1">IF(AND(B357&lt;59.5,OR(B358=59.5,B358&gt;59.5)),0,(J357-K357)*(1+'Retirement Planning'!$J$23/12))</f>
        <v>0</v>
      </c>
      <c r="K358" s="58">
        <f t="shared" ca="1" si="141"/>
        <v>0</v>
      </c>
      <c r="L358" s="57">
        <f>IF(AND(OR(B358&gt;59.5,B358=59.5),B357&lt;59.5),0,(L357-M357)*(1+'Retirement Planning'!$J$23/12))</f>
        <v>0</v>
      </c>
      <c r="M358" s="59">
        <f>IF(AND($B$10&lt;55,B358&lt;59.5),0,IF(B358&lt;59.5,MAX(0,MIN((($Y358+$AJ358+AA358)*'Retirement Planning'!$J$44)-$G358-$X358,L358)),0))</f>
        <v>0</v>
      </c>
      <c r="N358" s="57">
        <f ca="1">(N357-O357)*(1+'Retirement Planning'!$J$23/12)</f>
        <v>0</v>
      </c>
      <c r="O358" s="59">
        <f ca="1">IF(B358&gt;59.5,MAX(0,MIN((AA358+$Y358+$AJ358)*(IF(D358&lt;(MIN(E346:E357)+1),1,'Retirement Planning'!$J$44))-M358-$G358-$X358-(IF(D358&lt;(MIN(E346:E357)+1),D358,0)),N358)),0)</f>
        <v>0</v>
      </c>
      <c r="P358" s="57">
        <f t="shared" si="153"/>
        <v>0</v>
      </c>
      <c r="Q358" s="58">
        <f t="shared" si="154"/>
        <v>0</v>
      </c>
      <c r="R358" s="57">
        <f ca="1">(R357-S357-T357)*(1+'Retirement Planning'!$J$23/12)</f>
        <v>1141807.9193149484</v>
      </c>
      <c r="S358" s="58">
        <f t="shared" ca="1" si="155"/>
        <v>808.33333333333337</v>
      </c>
      <c r="T358" s="273">
        <f t="shared" ca="1" si="142"/>
        <v>-3.637978807091713E-12</v>
      </c>
      <c r="U358" s="57">
        <f ca="1">(U357-V357)*(1+'Retirement Planning'!$J$23/12)</f>
        <v>693102.58967121097</v>
      </c>
      <c r="V358" s="24">
        <f ca="1">IF(AND($B$10&lt;55,B358&lt;59.5),MIN(U358,MAX(0,(Y358+AA358+AJ358-G358)*'Retirement Planning'!$J$45)),IF(B358&lt;59.5,(MIN(U358,MAX(0,((Y358+AA358+AJ358)-G358-M358)*'Retirement Planning'!$J$45))),MIN(U358,MAX(0,(Y358+AA358+AJ358-G358-M358-K358-X358)*'Retirement Planning'!$J$45))))</f>
        <v>1603.2546282499923</v>
      </c>
      <c r="W358" s="7">
        <f t="shared" ca="1" si="143"/>
        <v>3919503.0770376194</v>
      </c>
      <c r="X358" s="7">
        <f>(IF(B358&gt;'Retirement Planning'!$J$34,IF('Retirement Planning'!$J$34=70,'Retirement Planning'!$J$37/12,IF('Retirement Planning'!$J$34=67,'Retirement Planning'!$J$36/12,'Retirement Planning'!$J$35/12)),0))*'Retirement Planning'!$J$38</f>
        <v>1213.6000000000001</v>
      </c>
      <c r="Y358" s="7">
        <f ca="1">'Retirement Planning'!$F$35*((1+'Retirement Planning'!$J$24)^(YEAR('Projected Retirement Drawdown'!C358)-YEAR(TODAY())))</f>
        <v>14078.791031413783</v>
      </c>
      <c r="Z358" s="7">
        <f ca="1">G358+M358+O358+0.85*X358+V358*'Retirement Planning'!$J$46+T358</f>
        <v>15558.28836227083</v>
      </c>
      <c r="AA358" s="7">
        <f ca="1">IF(MONTH(C358)=1,(((MIN(MAX(0,((SUM(Z346:Z357)-'Retirement Planning'!$I$53-'Retirement Planning'!$I$54)-'Retirement Planning'!$J$51)*'Retirement Planning'!$I$52))))+(MIN(MAX(0,((SUM(Z346:Z357)-'Retirement Planning'!$I$53-'Retirement Planning'!$I$54)-'Retirement Planning'!$J$50)*'Retirement Planning'!$I$51),('Retirement Planning'!$J$51-'Retirement Planning'!$J$50)*'Retirement Planning'!$I$51))+(MIN(MAX(0,((SUM(Z346:Z357)-'Retirement Planning'!$I$53-'Retirement Planning'!$I$54)-'Retirement Planning'!$J$49)*'Retirement Planning'!$I$50),('Retirement Planning'!$J$50-'Retirement Planning'!$J$49)*'Retirement Planning'!$I$50)+MIN(MAX(0,((SUM(Z346:Z357)-'Retirement Planning'!$I$53-'Retirement Planning'!$I$54)-'Retirement Planning'!$J$48)*'Retirement Planning'!$I$49),('Retirement Planning'!$J$49-'Retirement Planning'!$J$48)*'Retirement Planning'!$I$49)+MIN(((SUM(Z346:Z357)-'Retirement Planning'!$I$53-'Retirement Planning'!$I$54))*'Retirement Planning'!$I$48,('Retirement Planning'!$J$48)*'Retirement Planning'!$I$48))+(IF((SUM(Z346:Z357)-'Retirement Planning'!$I$54-'Retirement Planning'!$I$61)&gt;'Retirement Planning'!$J$59,(SUM(Z346:Z357)-'Retirement Planning'!$I$54-'Retirement Planning'!$I$61-'Retirement Planning'!$J$59)*'Retirement Planning'!$I$60+'Retirement Planning'!$K$59,IF((SUM(Z346:Z357)-'Retirement Planning'!$I$54-'Retirement Planning'!$I$61)&gt;'Retirement Planning'!$J$58,(SUM(Z346:Z357)-'Retirement Planning'!$I$54-'Retirement Planning'!$I$61-'Retirement Planning'!$J$58)*'Retirement Planning'!$I$59+'Retirement Planning'!$K$58,IF((SUM(Z346:Z357)-'Retirement Planning'!$I$54-'Retirement Planning'!$I$61)&gt;'Retirement Planning'!$J$57,(SUM(Z346:Z357)-'Retirement Planning'!$I$54-'Retirement Planning'!$I$61-'Retirement Planning'!$J$57)*'Retirement Planning'!$I$58+'Retirement Planning'!$K$57,IF((SUM(Z346:Z357)-'Retirement Planning'!$I$54-'Retirement Planning'!$I$61)&gt;'Retirement Planning'!$J$56,(SUM(Z346:Z357)-'Retirement Planning'!$I$54-'Retirement Planning'!$I$61-'Retirement Planning'!$J$56)*'Retirement Planning'!$I$57+'Retirement Planning'!$K$56,(SUM(Z346:Z357)-'Retirement Planning'!$I$54-'Retirement Planning'!$I$61)*'Retirement Planning'!$I$56))))))/12,AA357)</f>
        <v>3948.4167670224365</v>
      </c>
      <c r="AB358" s="104">
        <f t="shared" ref="AB358:AB389" ca="1" si="161">AB357</f>
        <v>0.26324768937567522</v>
      </c>
      <c r="AC358" s="7">
        <f>IF(B358&lt;65,'Retirement Planning'!$J$28,0)</f>
        <v>0</v>
      </c>
      <c r="AD358" s="7">
        <f>IF(B358&lt;65,'Retirement Planning'!$J$29/12,0)</f>
        <v>0</v>
      </c>
      <c r="AE358" s="22">
        <f>'Retirement Planning'!$J$31/12</f>
        <v>58.333333333333336</v>
      </c>
      <c r="AF358" s="22">
        <f>'Retirement Planning'!$J$32/12</f>
        <v>66.666666666666671</v>
      </c>
      <c r="AG358" s="7">
        <f>IF($B358&gt;64.9,'Retirement Planning'!$J$39/12,0)</f>
        <v>183.33333333333334</v>
      </c>
      <c r="AH358" s="7">
        <f>IF($B358&gt;64.9,'Retirement Planning'!$J$40/12,0)</f>
        <v>258.33333333333331</v>
      </c>
      <c r="AI358" s="7">
        <f>IF($B358&gt;64.9,'Retirement Planning'!$J$41/12,0)</f>
        <v>558.33333333333337</v>
      </c>
      <c r="AJ358" s="7">
        <f t="shared" ca="1" si="144"/>
        <v>316.66666666666663</v>
      </c>
      <c r="AK358" s="3" t="str">
        <f t="shared" ca="1" si="145"/>
        <v>N/A</v>
      </c>
      <c r="AL358" s="6" t="str">
        <f t="shared" ca="1" si="146"/>
        <v>N/A</v>
      </c>
      <c r="AM358" s="7">
        <f t="shared" ca="1" si="147"/>
        <v>-6.8212102632969618E-13</v>
      </c>
      <c r="AN358" s="7">
        <f t="shared" ca="1" si="148"/>
        <v>19152.207798436219</v>
      </c>
      <c r="AO358" s="7">
        <f t="shared" si="149"/>
        <v>1125</v>
      </c>
    </row>
    <row r="359" spans="1:41" x14ac:dyDescent="0.2">
      <c r="A359">
        <f t="shared" si="150"/>
        <v>50</v>
      </c>
      <c r="B359" s="5">
        <f t="shared" si="151"/>
        <v>85.4</v>
      </c>
      <c r="C359" s="56">
        <f t="shared" si="152"/>
        <v>57040</v>
      </c>
      <c r="D359" s="57">
        <f ca="1">IF(AND(B358&lt;59.5,OR(B359&gt;59.5,B359=59.5)),(D358-E358+J358-K358)*(1+'Retirement Planning'!$J$23/12),(D358-E358)*(1+'Retirement Planning'!$J$23/12))</f>
        <v>851792.33282817167</v>
      </c>
      <c r="E359" s="58">
        <f t="shared" ca="1" si="139"/>
        <v>1882.0815201195583</v>
      </c>
      <c r="F359" s="57">
        <f ca="1">IF(AND(OR(B359&gt;59.5,B359=59.5),B358&lt;59.5),(F358-G358+L358-M358+N358-O358)*(1+'Retirement Planning'!$J$23/12),(F358-G358)*(1+'Retirement Planning'!$J$23/12))</f>
        <v>1231929.0963529556</v>
      </c>
      <c r="G359" s="58">
        <f ca="1">IF(AND($B$10&lt;55,B359&lt;59.5),'Retirement Planning'!$J$25,IF(OR(B359&gt;59.5,B359=59.5),MAX(0,MIN(F359,IF(D359&lt;2500,((Y359+AJ359+AA359))-X359,((Y359+AJ359+AA359)*'Retirement Planning'!$J$44)-X359))),0))</f>
        <v>13644.938316733338</v>
      </c>
      <c r="H359" s="255">
        <f ca="1">IF(MONTH(C359)=1,IF(B359&gt;69.5,F359/(INDEX('Retirement Planning'!D$1:D$264,(160+INT(B359))))/12,0),IF(F359=0,0,H358))</f>
        <v>12776.279499512033</v>
      </c>
      <c r="I359" s="262">
        <f t="shared" ca="1" si="140"/>
        <v>0</v>
      </c>
      <c r="J359" s="254">
        <f ca="1">IF(AND(B358&lt;59.5,OR(B359=59.5,B359&gt;59.5)),0,(J358-K358)*(1+'Retirement Planning'!$J$23/12))</f>
        <v>0</v>
      </c>
      <c r="K359" s="58">
        <f t="shared" ca="1" si="141"/>
        <v>0</v>
      </c>
      <c r="L359" s="57">
        <f>IF(AND(OR(B359&gt;59.5,B359=59.5),B358&lt;59.5),0,(L358-M358)*(1+'Retirement Planning'!$J$23/12))</f>
        <v>0</v>
      </c>
      <c r="M359" s="59">
        <f>IF(AND($B$10&lt;55,B359&lt;59.5),0,IF(B359&lt;59.5,MAX(0,MIN((($Y359+$AJ359+AA359)*'Retirement Planning'!$J$44)-$G359-$X359,L359)),0))</f>
        <v>0</v>
      </c>
      <c r="N359" s="57">
        <f ca="1">(N358-O358)*(1+'Retirement Planning'!$J$23/12)</f>
        <v>0</v>
      </c>
      <c r="O359" s="59">
        <f ca="1">IF(B359&gt;59.5,MAX(0,MIN((AA359+$Y359+$AJ359)*(IF(D359&lt;(MIN(E347:E358)+1),1,'Retirement Planning'!$J$44))-M359-$G359-$X359-(IF(D359&lt;(MIN(E347:E358)+1),D359,0)),N359)),0)</f>
        <v>0</v>
      </c>
      <c r="P359" s="57">
        <f t="shared" si="153"/>
        <v>0</v>
      </c>
      <c r="Q359" s="58">
        <f t="shared" si="154"/>
        <v>0</v>
      </c>
      <c r="R359" s="57">
        <f ca="1">(R358-S358-T358)*(1+'Retirement Planning'!$J$23/12)</f>
        <v>1149081.6663823181</v>
      </c>
      <c r="S359" s="58">
        <f t="shared" ca="1" si="155"/>
        <v>808.33333333333337</v>
      </c>
      <c r="T359" s="273">
        <f t="shared" ca="1" si="142"/>
        <v>-3.637978807091713E-12</v>
      </c>
      <c r="U359" s="57">
        <f ca="1">(U358-V358)*(1+'Retirement Planning'!$J$23/12)</f>
        <v>696397.45533284859</v>
      </c>
      <c r="V359" s="24">
        <f ca="1">IF(AND($B$10&lt;55,B359&lt;59.5),MIN(U359,MAX(0,(Y359+AA359+AJ359-G359)*'Retirement Planning'!$J$45)),IF(B359&lt;59.5,(MIN(U359,MAX(0,((Y359+AA359+AJ359)-G359-M359)*'Retirement Planning'!$J$45))),MIN(U359,MAX(0,(Y359+AA359+AJ359-G359-M359-K359-X359)*'Retirement Planning'!$J$45))))</f>
        <v>1603.2546282499923</v>
      </c>
      <c r="W359" s="7">
        <f t="shared" ca="1" si="143"/>
        <v>3929200.5508962939</v>
      </c>
      <c r="X359" s="7">
        <f>(IF(B359&gt;'Retirement Planning'!$J$34,IF('Retirement Planning'!$J$34=70,'Retirement Planning'!$J$37/12,IF('Retirement Planning'!$J$34=67,'Retirement Planning'!$J$36/12,'Retirement Planning'!$J$35/12)),0))*'Retirement Planning'!$J$38</f>
        <v>1213.6000000000001</v>
      </c>
      <c r="Y359" s="7">
        <f ca="1">'Retirement Planning'!$F$35*((1+'Retirement Planning'!$J$24)^(YEAR('Projected Retirement Drawdown'!C359)-YEAR(TODAY())))</f>
        <v>14078.791031413783</v>
      </c>
      <c r="Z359" s="7">
        <f ca="1">G359+M359+O359+0.85*X359+V359*'Retirement Planning'!$J$46+T359</f>
        <v>15558.28836227083</v>
      </c>
      <c r="AA359" s="7">
        <f ca="1">IF(MONTH(C359)=1,(((MIN(MAX(0,((SUM(Z347:Z358)-'Retirement Planning'!$I$53-'Retirement Planning'!$I$54)-'Retirement Planning'!$J$51)*'Retirement Planning'!$I$52))))+(MIN(MAX(0,((SUM(Z347:Z358)-'Retirement Planning'!$I$53-'Retirement Planning'!$I$54)-'Retirement Planning'!$J$50)*'Retirement Planning'!$I$51),('Retirement Planning'!$J$51-'Retirement Planning'!$J$50)*'Retirement Planning'!$I$51))+(MIN(MAX(0,((SUM(Z347:Z358)-'Retirement Planning'!$I$53-'Retirement Planning'!$I$54)-'Retirement Planning'!$J$49)*'Retirement Planning'!$I$50),('Retirement Planning'!$J$50-'Retirement Planning'!$J$49)*'Retirement Planning'!$I$50)+MIN(MAX(0,((SUM(Z347:Z358)-'Retirement Planning'!$I$53-'Retirement Planning'!$I$54)-'Retirement Planning'!$J$48)*'Retirement Planning'!$I$49),('Retirement Planning'!$J$49-'Retirement Planning'!$J$48)*'Retirement Planning'!$I$49)+MIN(((SUM(Z347:Z358)-'Retirement Planning'!$I$53-'Retirement Planning'!$I$54))*'Retirement Planning'!$I$48,('Retirement Planning'!$J$48)*'Retirement Planning'!$I$48))+(IF((SUM(Z347:Z358)-'Retirement Planning'!$I$54-'Retirement Planning'!$I$61)&gt;'Retirement Planning'!$J$59,(SUM(Z347:Z358)-'Retirement Planning'!$I$54-'Retirement Planning'!$I$61-'Retirement Planning'!$J$59)*'Retirement Planning'!$I$60+'Retirement Planning'!$K$59,IF((SUM(Z347:Z358)-'Retirement Planning'!$I$54-'Retirement Planning'!$I$61)&gt;'Retirement Planning'!$J$58,(SUM(Z347:Z358)-'Retirement Planning'!$I$54-'Retirement Planning'!$I$61-'Retirement Planning'!$J$58)*'Retirement Planning'!$I$59+'Retirement Planning'!$K$58,IF((SUM(Z347:Z358)-'Retirement Planning'!$I$54-'Retirement Planning'!$I$61)&gt;'Retirement Planning'!$J$57,(SUM(Z347:Z358)-'Retirement Planning'!$I$54-'Retirement Planning'!$I$61-'Retirement Planning'!$J$57)*'Retirement Planning'!$I$58+'Retirement Planning'!$K$57,IF((SUM(Z347:Z358)-'Retirement Planning'!$I$54-'Retirement Planning'!$I$61)&gt;'Retirement Planning'!$J$56,(SUM(Z347:Z358)-'Retirement Planning'!$I$54-'Retirement Planning'!$I$61-'Retirement Planning'!$J$56)*'Retirement Planning'!$I$57+'Retirement Planning'!$K$56,(SUM(Z347:Z358)-'Retirement Planning'!$I$54-'Retirement Planning'!$I$61)*'Retirement Planning'!$I$56))))))/12,AA358)</f>
        <v>3948.4167670224365</v>
      </c>
      <c r="AB359" s="104">
        <f t="shared" ca="1" si="134"/>
        <v>0.26324768937567522</v>
      </c>
      <c r="AC359" s="7">
        <f>IF(B359&lt;65,'Retirement Planning'!$J$28,0)</f>
        <v>0</v>
      </c>
      <c r="AD359" s="7">
        <f>IF(B359&lt;65,'Retirement Planning'!$J$29/12,0)</f>
        <v>0</v>
      </c>
      <c r="AE359" s="22">
        <f>'Retirement Planning'!$J$31/12</f>
        <v>58.333333333333336</v>
      </c>
      <c r="AF359" s="22">
        <f>'Retirement Planning'!$J$32/12</f>
        <v>66.666666666666671</v>
      </c>
      <c r="AG359" s="7">
        <f>IF($B359&gt;64.9,'Retirement Planning'!$J$39/12,0)</f>
        <v>183.33333333333334</v>
      </c>
      <c r="AH359" s="7">
        <f>IF($B359&gt;64.9,'Retirement Planning'!$J$40/12,0)</f>
        <v>258.33333333333331</v>
      </c>
      <c r="AI359" s="7">
        <f>IF($B359&gt;64.9,'Retirement Planning'!$J$41/12,0)</f>
        <v>558.33333333333337</v>
      </c>
      <c r="AJ359" s="7">
        <f t="shared" ca="1" si="144"/>
        <v>316.66666666666663</v>
      </c>
      <c r="AK359" s="3" t="str">
        <f t="shared" ca="1" si="145"/>
        <v>N/A</v>
      </c>
      <c r="AL359" s="6" t="str">
        <f t="shared" ca="1" si="146"/>
        <v>N/A</v>
      </c>
      <c r="AM359" s="7">
        <f t="shared" ca="1" si="147"/>
        <v>-6.8212102632969618E-13</v>
      </c>
      <c r="AN359" s="7">
        <f t="shared" ca="1" si="148"/>
        <v>19152.207798436219</v>
      </c>
      <c r="AO359" s="7">
        <f t="shared" si="149"/>
        <v>1125</v>
      </c>
    </row>
    <row r="360" spans="1:41" x14ac:dyDescent="0.2">
      <c r="A360">
        <f t="shared" si="150"/>
        <v>50</v>
      </c>
      <c r="B360" s="5">
        <f t="shared" si="151"/>
        <v>85.5</v>
      </c>
      <c r="C360" s="56">
        <f t="shared" si="152"/>
        <v>57071</v>
      </c>
      <c r="D360" s="57">
        <f ca="1">IF(AND(B359&lt;59.5,OR(B360&gt;59.5,B360=59.5)),(D359-E359+J359-K359)*(1+'Retirement Planning'!$J$23/12),(D359-E359)*(1+'Retirement Planning'!$J$23/12))</f>
        <v>855930.44892148417</v>
      </c>
      <c r="E360" s="58">
        <f t="shared" ca="1" si="139"/>
        <v>1882.0815201195583</v>
      </c>
      <c r="F360" s="57">
        <f ca="1">IF(AND(OR(B360&gt;59.5,B360=59.5),B359&lt;59.5),(F359-G359+L359-M359+N359-O359)*(1+'Retirement Planning'!$J$23/12),(F359-G359)*(1+'Retirement Planning'!$J$23/12))</f>
        <v>1226913.6708223121</v>
      </c>
      <c r="G360" s="58">
        <f ca="1">IF(AND($B$10&lt;55,B360&lt;59.5),'Retirement Planning'!$J$25,IF(OR(B360&gt;59.5,B360=59.5),MAX(0,MIN(F360,IF(D360&lt;2500,((Y360+AJ360+AA360))-X360,((Y360+AJ360+AA360)*'Retirement Planning'!$J$44)-X360))),0))</f>
        <v>13644.938316733338</v>
      </c>
      <c r="H360" s="255">
        <f ca="1">IF(MONTH(C360)=1,IF(B360&gt;69.5,F360/(INDEX('Retirement Planning'!D$1:D$264,(160+INT(B360))))/12,0),IF(F360=0,0,H359))</f>
        <v>12776.279499512033</v>
      </c>
      <c r="I360" s="262">
        <f t="shared" ca="1" si="140"/>
        <v>0</v>
      </c>
      <c r="J360" s="254">
        <f ca="1">IF(AND(B359&lt;59.5,OR(B360=59.5,B360&gt;59.5)),0,(J359-K359)*(1+'Retirement Planning'!$J$23/12))</f>
        <v>0</v>
      </c>
      <c r="K360" s="58">
        <f t="shared" ca="1" si="141"/>
        <v>0</v>
      </c>
      <c r="L360" s="57">
        <f>IF(AND(OR(B360&gt;59.5,B360=59.5),B359&lt;59.5),0,(L359-M359)*(1+'Retirement Planning'!$J$23/12))</f>
        <v>0</v>
      </c>
      <c r="M360" s="59">
        <f>IF(AND($B$10&lt;55,B360&lt;59.5),0,IF(B360&lt;59.5,MAX(0,MIN((($Y360+$AJ360+AA360)*'Retirement Planning'!$J$44)-$G360-$X360,L360)),0))</f>
        <v>0</v>
      </c>
      <c r="N360" s="57">
        <f ca="1">(N359-O359)*(1+'Retirement Planning'!$J$23/12)</f>
        <v>0</v>
      </c>
      <c r="O360" s="59">
        <f ca="1">IF(B360&gt;59.5,MAX(0,MIN((AA360+$Y360+$AJ360)*(IF(D360&lt;(MIN(E348:E359)+1),1,'Retirement Planning'!$J$44))-M360-$G360-$X360-(IF(D360&lt;(MIN(E348:E359)+1),D360,0)),N360)),0)</f>
        <v>0</v>
      </c>
      <c r="P360" s="57">
        <f t="shared" si="153"/>
        <v>0</v>
      </c>
      <c r="Q360" s="58">
        <f t="shared" si="154"/>
        <v>0</v>
      </c>
      <c r="R360" s="57">
        <f ca="1">(R359-S359-T359)*(1+'Retirement Planning'!$J$23/12)</f>
        <v>1156406.9358247486</v>
      </c>
      <c r="S360" s="58">
        <f t="shared" ca="1" si="155"/>
        <v>808.33333333333337</v>
      </c>
      <c r="T360" s="273">
        <f t="shared" ca="1" si="142"/>
        <v>-3.637978807091713E-12</v>
      </c>
      <c r="U360" s="57">
        <f ca="1">(U359-V359)*(1+'Retirement Planning'!$J$23/12)</f>
        <v>699715.65962625609</v>
      </c>
      <c r="V360" s="24">
        <f ca="1">IF(AND($B$10&lt;55,B360&lt;59.5),MIN(U360,MAX(0,(Y360+AA360+AJ360-G360)*'Retirement Planning'!$J$45)),IF(B360&lt;59.5,(MIN(U360,MAX(0,((Y360+AA360+AJ360)-G360-M360)*'Retirement Planning'!$J$45))),MIN(U360,MAX(0,(Y360+AA360+AJ360-G360-M360-K360-X360)*'Retirement Planning'!$J$45))))</f>
        <v>1603.2546282499923</v>
      </c>
      <c r="W360" s="7">
        <f t="shared" ca="1" si="143"/>
        <v>3938966.7151948013</v>
      </c>
      <c r="X360" s="7">
        <f>(IF(B360&gt;'Retirement Planning'!$J$34,IF('Retirement Planning'!$J$34=70,'Retirement Planning'!$J$37/12,IF('Retirement Planning'!$J$34=67,'Retirement Planning'!$J$36/12,'Retirement Planning'!$J$35/12)),0))*'Retirement Planning'!$J$38</f>
        <v>1213.6000000000001</v>
      </c>
      <c r="Y360" s="7">
        <f ca="1">'Retirement Planning'!$F$35*((1+'Retirement Planning'!$J$24)^(YEAR('Projected Retirement Drawdown'!C360)-YEAR(TODAY())))</f>
        <v>14078.791031413783</v>
      </c>
      <c r="Z360" s="7">
        <f ca="1">G360+M360+O360+0.85*X360+V360*'Retirement Planning'!$J$46+T360</f>
        <v>15558.28836227083</v>
      </c>
      <c r="AA360" s="7">
        <f ca="1">IF(MONTH(C360)=1,(((MIN(MAX(0,((SUM(Z348:Z359)-'Retirement Planning'!$I$53-'Retirement Planning'!$I$54)-'Retirement Planning'!$J$51)*'Retirement Planning'!$I$52))))+(MIN(MAX(0,((SUM(Z348:Z359)-'Retirement Planning'!$I$53-'Retirement Planning'!$I$54)-'Retirement Planning'!$J$50)*'Retirement Planning'!$I$51),('Retirement Planning'!$J$51-'Retirement Planning'!$J$50)*'Retirement Planning'!$I$51))+(MIN(MAX(0,((SUM(Z348:Z359)-'Retirement Planning'!$I$53-'Retirement Planning'!$I$54)-'Retirement Planning'!$J$49)*'Retirement Planning'!$I$50),('Retirement Planning'!$J$50-'Retirement Planning'!$J$49)*'Retirement Planning'!$I$50)+MIN(MAX(0,((SUM(Z348:Z359)-'Retirement Planning'!$I$53-'Retirement Planning'!$I$54)-'Retirement Planning'!$J$48)*'Retirement Planning'!$I$49),('Retirement Planning'!$J$49-'Retirement Planning'!$J$48)*'Retirement Planning'!$I$49)+MIN(((SUM(Z348:Z359)-'Retirement Planning'!$I$53-'Retirement Planning'!$I$54))*'Retirement Planning'!$I$48,('Retirement Planning'!$J$48)*'Retirement Planning'!$I$48))+(IF((SUM(Z348:Z359)-'Retirement Planning'!$I$54-'Retirement Planning'!$I$61)&gt;'Retirement Planning'!$J$59,(SUM(Z348:Z359)-'Retirement Planning'!$I$54-'Retirement Planning'!$I$61-'Retirement Planning'!$J$59)*'Retirement Planning'!$I$60+'Retirement Planning'!$K$59,IF((SUM(Z348:Z359)-'Retirement Planning'!$I$54-'Retirement Planning'!$I$61)&gt;'Retirement Planning'!$J$58,(SUM(Z348:Z359)-'Retirement Planning'!$I$54-'Retirement Planning'!$I$61-'Retirement Planning'!$J$58)*'Retirement Planning'!$I$59+'Retirement Planning'!$K$58,IF((SUM(Z348:Z359)-'Retirement Planning'!$I$54-'Retirement Planning'!$I$61)&gt;'Retirement Planning'!$J$57,(SUM(Z348:Z359)-'Retirement Planning'!$I$54-'Retirement Planning'!$I$61-'Retirement Planning'!$J$57)*'Retirement Planning'!$I$58+'Retirement Planning'!$K$57,IF((SUM(Z348:Z359)-'Retirement Planning'!$I$54-'Retirement Planning'!$I$61)&gt;'Retirement Planning'!$J$56,(SUM(Z348:Z359)-'Retirement Planning'!$I$54-'Retirement Planning'!$I$61-'Retirement Planning'!$J$56)*'Retirement Planning'!$I$57+'Retirement Planning'!$K$56,(SUM(Z348:Z359)-'Retirement Planning'!$I$54-'Retirement Planning'!$I$61)*'Retirement Planning'!$I$56))))))/12,AA359)</f>
        <v>3948.4167670224365</v>
      </c>
      <c r="AB360" s="104">
        <f t="shared" ca="1" si="134"/>
        <v>0.26324768937567522</v>
      </c>
      <c r="AC360" s="7">
        <f>IF(B360&lt;65,'Retirement Planning'!$J$28,0)</f>
        <v>0</v>
      </c>
      <c r="AD360" s="7">
        <f>IF(B360&lt;65,'Retirement Planning'!$J$29/12,0)</f>
        <v>0</v>
      </c>
      <c r="AE360" s="22">
        <f>'Retirement Planning'!$J$31/12</f>
        <v>58.333333333333336</v>
      </c>
      <c r="AF360" s="22">
        <f>'Retirement Planning'!$J$32/12</f>
        <v>66.666666666666671</v>
      </c>
      <c r="AG360" s="7">
        <f>IF($B360&gt;64.9,'Retirement Planning'!$J$39/12,0)</f>
        <v>183.33333333333334</v>
      </c>
      <c r="AH360" s="7">
        <f>IF($B360&gt;64.9,'Retirement Planning'!$J$40/12,0)</f>
        <v>258.33333333333331</v>
      </c>
      <c r="AI360" s="7">
        <f>IF($B360&gt;64.9,'Retirement Planning'!$J$41/12,0)</f>
        <v>558.33333333333337</v>
      </c>
      <c r="AJ360" s="7">
        <f t="shared" ca="1" si="144"/>
        <v>316.66666666666663</v>
      </c>
      <c r="AK360" s="3" t="str">
        <f t="shared" ca="1" si="145"/>
        <v>N/A</v>
      </c>
      <c r="AL360" s="6" t="str">
        <f t="shared" ca="1" si="146"/>
        <v>N/A</v>
      </c>
      <c r="AM360" s="7">
        <f t="shared" ca="1" si="147"/>
        <v>-6.8212102632969618E-13</v>
      </c>
      <c r="AN360" s="7">
        <f t="shared" ca="1" si="148"/>
        <v>19152.207798436219</v>
      </c>
      <c r="AO360" s="7">
        <f t="shared" si="149"/>
        <v>1125</v>
      </c>
    </row>
    <row r="361" spans="1:41" x14ac:dyDescent="0.2">
      <c r="A361">
        <f t="shared" si="150"/>
        <v>50</v>
      </c>
      <c r="B361" s="5">
        <f t="shared" si="151"/>
        <v>85.5</v>
      </c>
      <c r="C361" s="56">
        <f t="shared" si="152"/>
        <v>57101</v>
      </c>
      <c r="D361" s="57">
        <f ca="1">IF(AND(B360&lt;59.5,OR(B361&gt;59.5,B361=59.5)),(D360-E360+J360-K360)*(1+'Retirement Planning'!$J$23/12),(D360-E360)*(1+'Retirement Planning'!$J$23/12))</f>
        <v>860097.87667045766</v>
      </c>
      <c r="E361" s="58">
        <f t="shared" ca="1" si="139"/>
        <v>1882.0815201195583</v>
      </c>
      <c r="F361" s="57">
        <f ca="1">IF(AND(OR(B361&gt;59.5,B361=59.5),B360&lt;59.5),(F360-G360+L360-M360+N360-O360)*(1+'Retirement Planning'!$J$23/12),(F360-G360)*(1+'Retirement Planning'!$J$23/12))</f>
        <v>1221862.7193608265</v>
      </c>
      <c r="G361" s="58">
        <f ca="1">IF(AND($B$10&lt;55,B361&lt;59.5),'Retirement Planning'!$J$25,IF(OR(B361&gt;59.5,B361=59.5),MAX(0,MIN(F361,IF(D361&lt;2500,((Y361+AJ361+AA361))-X361,((Y361+AJ361+AA361)*'Retirement Planning'!$J$44)-X361))),0))</f>
        <v>13644.938316733338</v>
      </c>
      <c r="H361" s="255">
        <f ca="1">IF(MONTH(C361)=1,IF(B361&gt;69.5,F361/(INDEX('Retirement Planning'!D$1:D$264,(160+INT(B361))))/12,0),IF(F361=0,0,H360))</f>
        <v>12776.279499512033</v>
      </c>
      <c r="I361" s="262">
        <f t="shared" ca="1" si="140"/>
        <v>0</v>
      </c>
      <c r="J361" s="254">
        <f ca="1">IF(AND(B360&lt;59.5,OR(B361=59.5,B361&gt;59.5)),0,(J360-K360)*(1+'Retirement Planning'!$J$23/12))</f>
        <v>0</v>
      </c>
      <c r="K361" s="58">
        <f t="shared" ca="1" si="141"/>
        <v>0</v>
      </c>
      <c r="L361" s="57">
        <f>IF(AND(OR(B361&gt;59.5,B361=59.5),B360&lt;59.5),0,(L360-M360)*(1+'Retirement Planning'!$J$23/12))</f>
        <v>0</v>
      </c>
      <c r="M361" s="59">
        <f>IF(AND($B$10&lt;55,B361&lt;59.5),0,IF(B361&lt;59.5,MAX(0,MIN((($Y361+$AJ361+AA361)*'Retirement Planning'!$J$44)-$G361-$X361,L361)),0))</f>
        <v>0</v>
      </c>
      <c r="N361" s="57">
        <f ca="1">(N360-O360)*(1+'Retirement Planning'!$J$23/12)</f>
        <v>0</v>
      </c>
      <c r="O361" s="59">
        <f ca="1">IF(B361&gt;59.5,MAX(0,MIN((AA361+$Y361+$AJ361)*(IF(D361&lt;(MIN(E349:E360)+1),1,'Retirement Planning'!$J$44))-M361-$G361-$X361-(IF(D361&lt;(MIN(E349:E360)+1),D361,0)),N361)),0)</f>
        <v>0</v>
      </c>
      <c r="P361" s="57">
        <f t="shared" si="153"/>
        <v>0</v>
      </c>
      <c r="Q361" s="58">
        <f t="shared" si="154"/>
        <v>0</v>
      </c>
      <c r="R361" s="57">
        <f ca="1">(R360-S360-T360)*(1+'Retirement Planning'!$J$23/12)</f>
        <v>1163784.0925923963</v>
      </c>
      <c r="S361" s="58">
        <f t="shared" ca="1" si="155"/>
        <v>808.33333333333337</v>
      </c>
      <c r="T361" s="273">
        <f t="shared" ca="1" si="142"/>
        <v>-3.637978807091713E-12</v>
      </c>
      <c r="U361" s="57">
        <f ca="1">(U360-V360)*(1+'Retirement Planning'!$J$23/12)</f>
        <v>703057.36786674196</v>
      </c>
      <c r="V361" s="24">
        <f ca="1">IF(AND($B$10&lt;55,B361&lt;59.5),MIN(U361,MAX(0,(Y361+AA361+AJ361-G361)*'Retirement Planning'!$J$45)),IF(B361&lt;59.5,(MIN(U361,MAX(0,((Y361+AA361+AJ361)-G361-M361)*'Retirement Planning'!$J$45))),MIN(U361,MAX(0,(Y361+AA361+AJ361-G361-M361-K361-X361)*'Retirement Planning'!$J$45))))</f>
        <v>1603.2546282499923</v>
      </c>
      <c r="W361" s="7">
        <f t="shared" ca="1" si="143"/>
        <v>3948802.0564904227</v>
      </c>
      <c r="X361" s="7">
        <f>(IF(B361&gt;'Retirement Planning'!$J$34,IF('Retirement Planning'!$J$34=70,'Retirement Planning'!$J$37/12,IF('Retirement Planning'!$J$34=67,'Retirement Planning'!$J$36/12,'Retirement Planning'!$J$35/12)),0))*'Retirement Planning'!$J$38</f>
        <v>1213.6000000000001</v>
      </c>
      <c r="Y361" s="7">
        <f ca="1">'Retirement Planning'!$F$35*((1+'Retirement Planning'!$J$24)^(YEAR('Projected Retirement Drawdown'!C361)-YEAR(TODAY())))</f>
        <v>14078.791031413783</v>
      </c>
      <c r="Z361" s="7">
        <f ca="1">G361+M361+O361+0.85*X361+V361*'Retirement Planning'!$J$46+T361</f>
        <v>15558.28836227083</v>
      </c>
      <c r="AA361" s="7">
        <f ca="1">IF(MONTH(C361)=1,(((MIN(MAX(0,((SUM(Z349:Z360)-'Retirement Planning'!$I$53-'Retirement Planning'!$I$54)-'Retirement Planning'!$J$51)*'Retirement Planning'!$I$52))))+(MIN(MAX(0,((SUM(Z349:Z360)-'Retirement Planning'!$I$53-'Retirement Planning'!$I$54)-'Retirement Planning'!$J$50)*'Retirement Planning'!$I$51),('Retirement Planning'!$J$51-'Retirement Planning'!$J$50)*'Retirement Planning'!$I$51))+(MIN(MAX(0,((SUM(Z349:Z360)-'Retirement Planning'!$I$53-'Retirement Planning'!$I$54)-'Retirement Planning'!$J$49)*'Retirement Planning'!$I$50),('Retirement Planning'!$J$50-'Retirement Planning'!$J$49)*'Retirement Planning'!$I$50)+MIN(MAX(0,((SUM(Z349:Z360)-'Retirement Planning'!$I$53-'Retirement Planning'!$I$54)-'Retirement Planning'!$J$48)*'Retirement Planning'!$I$49),('Retirement Planning'!$J$49-'Retirement Planning'!$J$48)*'Retirement Planning'!$I$49)+MIN(((SUM(Z349:Z360)-'Retirement Planning'!$I$53-'Retirement Planning'!$I$54))*'Retirement Planning'!$I$48,('Retirement Planning'!$J$48)*'Retirement Planning'!$I$48))+(IF((SUM(Z349:Z360)-'Retirement Planning'!$I$54-'Retirement Planning'!$I$61)&gt;'Retirement Planning'!$J$59,(SUM(Z349:Z360)-'Retirement Planning'!$I$54-'Retirement Planning'!$I$61-'Retirement Planning'!$J$59)*'Retirement Planning'!$I$60+'Retirement Planning'!$K$59,IF((SUM(Z349:Z360)-'Retirement Planning'!$I$54-'Retirement Planning'!$I$61)&gt;'Retirement Planning'!$J$58,(SUM(Z349:Z360)-'Retirement Planning'!$I$54-'Retirement Planning'!$I$61-'Retirement Planning'!$J$58)*'Retirement Planning'!$I$59+'Retirement Planning'!$K$58,IF((SUM(Z349:Z360)-'Retirement Planning'!$I$54-'Retirement Planning'!$I$61)&gt;'Retirement Planning'!$J$57,(SUM(Z349:Z360)-'Retirement Planning'!$I$54-'Retirement Planning'!$I$61-'Retirement Planning'!$J$57)*'Retirement Planning'!$I$58+'Retirement Planning'!$K$57,IF((SUM(Z349:Z360)-'Retirement Planning'!$I$54-'Retirement Planning'!$I$61)&gt;'Retirement Planning'!$J$56,(SUM(Z349:Z360)-'Retirement Planning'!$I$54-'Retirement Planning'!$I$61-'Retirement Planning'!$J$56)*'Retirement Planning'!$I$57+'Retirement Planning'!$K$56,(SUM(Z349:Z360)-'Retirement Planning'!$I$54-'Retirement Planning'!$I$61)*'Retirement Planning'!$I$56))))))/12,AA360)</f>
        <v>3948.4167670224365</v>
      </c>
      <c r="AB361" s="104">
        <f t="shared" ca="1" si="134"/>
        <v>0.26324768937567522</v>
      </c>
      <c r="AC361" s="7">
        <f>IF(B361&lt;65,'Retirement Planning'!$J$28,0)</f>
        <v>0</v>
      </c>
      <c r="AD361" s="7">
        <f>IF(B361&lt;65,'Retirement Planning'!$J$29/12,0)</f>
        <v>0</v>
      </c>
      <c r="AE361" s="22">
        <f>'Retirement Planning'!$J$31/12</f>
        <v>58.333333333333336</v>
      </c>
      <c r="AF361" s="22">
        <f>'Retirement Planning'!$J$32/12</f>
        <v>66.666666666666671</v>
      </c>
      <c r="AG361" s="7">
        <f>IF($B361&gt;64.9,'Retirement Planning'!$J$39/12,0)</f>
        <v>183.33333333333334</v>
      </c>
      <c r="AH361" s="7">
        <f>IF($B361&gt;64.9,'Retirement Planning'!$J$40/12,0)</f>
        <v>258.33333333333331</v>
      </c>
      <c r="AI361" s="7">
        <f>IF($B361&gt;64.9,'Retirement Planning'!$J$41/12,0)</f>
        <v>558.33333333333337</v>
      </c>
      <c r="AJ361" s="7">
        <f t="shared" ca="1" si="144"/>
        <v>316.66666666666663</v>
      </c>
      <c r="AK361" s="3" t="str">
        <f t="shared" ca="1" si="145"/>
        <v>N/A</v>
      </c>
      <c r="AL361" s="6" t="str">
        <f t="shared" ca="1" si="146"/>
        <v>N/A</v>
      </c>
      <c r="AM361" s="7">
        <f t="shared" ca="1" si="147"/>
        <v>-6.8212102632969618E-13</v>
      </c>
      <c r="AN361" s="7">
        <f t="shared" ca="1" si="148"/>
        <v>19152.207798436219</v>
      </c>
      <c r="AO361" s="7">
        <f t="shared" si="149"/>
        <v>1125</v>
      </c>
    </row>
    <row r="362" spans="1:41" x14ac:dyDescent="0.2">
      <c r="A362">
        <f t="shared" si="150"/>
        <v>50</v>
      </c>
      <c r="B362" s="5">
        <f t="shared" si="151"/>
        <v>85.6</v>
      </c>
      <c r="C362" s="56">
        <f t="shared" si="152"/>
        <v>57132</v>
      </c>
      <c r="D362" s="57">
        <f ca="1">IF(AND(B361&lt;59.5,OR(B362&gt;59.5,B362=59.5)),(D361-E361+J361-K361)*(1+'Retirement Planning'!$J$23/12),(D361-E361)*(1+'Retirement Planning'!$J$23/12))</f>
        <v>864294.82369931962</v>
      </c>
      <c r="E362" s="58">
        <f t="shared" ca="1" si="139"/>
        <v>1882.0815201195583</v>
      </c>
      <c r="F362" s="57">
        <f ca="1">IF(AND(OR(B362&gt;59.5,B362=59.5),B361&lt;59.5),(F361-G361+L361-M361+N361-O361)*(1+'Retirement Planning'!$J$23/12),(F361-G361)*(1+'Retirement Planning'!$J$23/12))</f>
        <v>1216775.9903264889</v>
      </c>
      <c r="G362" s="58">
        <f ca="1">IF(AND($B$10&lt;55,B362&lt;59.5),'Retirement Planning'!$J$25,IF(OR(B362&gt;59.5,B362=59.5),MAX(0,MIN(F362,IF(D362&lt;2500,((Y362+AJ362+AA362))-X362,((Y362+AJ362+AA362)*'Retirement Planning'!$J$44)-X362))),0))</f>
        <v>13644.938316733338</v>
      </c>
      <c r="H362" s="255">
        <f ca="1">IF(MONTH(C362)=1,IF(B362&gt;69.5,F362/(INDEX('Retirement Planning'!D$1:D$264,(160+INT(B362))))/12,0),IF(F362=0,0,H361))</f>
        <v>12776.279499512033</v>
      </c>
      <c r="I362" s="262">
        <f t="shared" ca="1" si="140"/>
        <v>0</v>
      </c>
      <c r="J362" s="254">
        <f ca="1">IF(AND(B361&lt;59.5,OR(B362=59.5,B362&gt;59.5)),0,(J361-K361)*(1+'Retirement Planning'!$J$23/12))</f>
        <v>0</v>
      </c>
      <c r="K362" s="58">
        <f t="shared" ca="1" si="141"/>
        <v>0</v>
      </c>
      <c r="L362" s="57">
        <f>IF(AND(OR(B362&gt;59.5,B362=59.5),B361&lt;59.5),0,(L361-M361)*(1+'Retirement Planning'!$J$23/12))</f>
        <v>0</v>
      </c>
      <c r="M362" s="59">
        <f>IF(AND($B$10&lt;55,B362&lt;59.5),0,IF(B362&lt;59.5,MAX(0,MIN((($Y362+$AJ362+AA362)*'Retirement Planning'!$J$44)-$G362-$X362,L362)),0))</f>
        <v>0</v>
      </c>
      <c r="N362" s="57">
        <f ca="1">(N361-O361)*(1+'Retirement Planning'!$J$23/12)</f>
        <v>0</v>
      </c>
      <c r="O362" s="59">
        <f ca="1">IF(B362&gt;59.5,MAX(0,MIN((AA362+$Y362+$AJ362)*(IF(D362&lt;(MIN(E350:E361)+1),1,'Retirement Planning'!$J$44))-M362-$G362-$X362-(IF(D362&lt;(MIN(E350:E361)+1),D362,0)),N362)),0)</f>
        <v>0</v>
      </c>
      <c r="P362" s="57">
        <f t="shared" si="153"/>
        <v>0</v>
      </c>
      <c r="Q362" s="58">
        <f t="shared" si="154"/>
        <v>0</v>
      </c>
      <c r="R362" s="57">
        <f ca="1">(R361-S361-T361)*(1+'Retirement Planning'!$J$23/12)</f>
        <v>1171213.5042204815</v>
      </c>
      <c r="S362" s="58">
        <f t="shared" ca="1" si="155"/>
        <v>808.33333333333337</v>
      </c>
      <c r="T362" s="273">
        <f t="shared" ca="1" si="142"/>
        <v>-3.637978807091713E-12</v>
      </c>
      <c r="U362" s="57">
        <f ca="1">(U361-V361)*(1+'Retirement Planning'!$J$23/12)</f>
        <v>706422.74654059787</v>
      </c>
      <c r="V362" s="24">
        <f ca="1">IF(AND($B$10&lt;55,B362&lt;59.5),MIN(U362,MAX(0,(Y362+AA362+AJ362-G362)*'Retirement Planning'!$J$45)),IF(B362&lt;59.5,(MIN(U362,MAX(0,((Y362+AA362+AJ362)-G362-M362)*'Retirement Planning'!$J$45))),MIN(U362,MAX(0,(Y362+AA362+AJ362-G362-M362-K362-X362)*'Retirement Planning'!$J$45))))</f>
        <v>1603.2546282499923</v>
      </c>
      <c r="W362" s="7">
        <f t="shared" ca="1" si="143"/>
        <v>3958707.0647868877</v>
      </c>
      <c r="X362" s="7">
        <f>(IF(B362&gt;'Retirement Planning'!$J$34,IF('Retirement Planning'!$J$34=70,'Retirement Planning'!$J$37/12,IF('Retirement Planning'!$J$34=67,'Retirement Planning'!$J$36/12,'Retirement Planning'!$J$35/12)),0))*'Retirement Planning'!$J$38</f>
        <v>1213.6000000000001</v>
      </c>
      <c r="Y362" s="7">
        <f ca="1">'Retirement Planning'!$F$35*((1+'Retirement Planning'!$J$24)^(YEAR('Projected Retirement Drawdown'!C362)-YEAR(TODAY())))</f>
        <v>14078.791031413783</v>
      </c>
      <c r="Z362" s="7">
        <f ca="1">G362+M362+O362+0.85*X362+V362*'Retirement Planning'!$J$46+T362</f>
        <v>15558.28836227083</v>
      </c>
      <c r="AA362" s="7">
        <f ca="1">IF(MONTH(C362)=1,(((MIN(MAX(0,((SUM(Z350:Z361)-'Retirement Planning'!$I$53-'Retirement Planning'!$I$54)-'Retirement Planning'!$J$51)*'Retirement Planning'!$I$52))))+(MIN(MAX(0,((SUM(Z350:Z361)-'Retirement Planning'!$I$53-'Retirement Planning'!$I$54)-'Retirement Planning'!$J$50)*'Retirement Planning'!$I$51),('Retirement Planning'!$J$51-'Retirement Planning'!$J$50)*'Retirement Planning'!$I$51))+(MIN(MAX(0,((SUM(Z350:Z361)-'Retirement Planning'!$I$53-'Retirement Planning'!$I$54)-'Retirement Planning'!$J$49)*'Retirement Planning'!$I$50),('Retirement Planning'!$J$50-'Retirement Planning'!$J$49)*'Retirement Planning'!$I$50)+MIN(MAX(0,((SUM(Z350:Z361)-'Retirement Planning'!$I$53-'Retirement Planning'!$I$54)-'Retirement Planning'!$J$48)*'Retirement Planning'!$I$49),('Retirement Planning'!$J$49-'Retirement Planning'!$J$48)*'Retirement Planning'!$I$49)+MIN(((SUM(Z350:Z361)-'Retirement Planning'!$I$53-'Retirement Planning'!$I$54))*'Retirement Planning'!$I$48,('Retirement Planning'!$J$48)*'Retirement Planning'!$I$48))+(IF((SUM(Z350:Z361)-'Retirement Planning'!$I$54-'Retirement Planning'!$I$61)&gt;'Retirement Planning'!$J$59,(SUM(Z350:Z361)-'Retirement Planning'!$I$54-'Retirement Planning'!$I$61-'Retirement Planning'!$J$59)*'Retirement Planning'!$I$60+'Retirement Planning'!$K$59,IF((SUM(Z350:Z361)-'Retirement Planning'!$I$54-'Retirement Planning'!$I$61)&gt;'Retirement Planning'!$J$58,(SUM(Z350:Z361)-'Retirement Planning'!$I$54-'Retirement Planning'!$I$61-'Retirement Planning'!$J$58)*'Retirement Planning'!$I$59+'Retirement Planning'!$K$58,IF((SUM(Z350:Z361)-'Retirement Planning'!$I$54-'Retirement Planning'!$I$61)&gt;'Retirement Planning'!$J$57,(SUM(Z350:Z361)-'Retirement Planning'!$I$54-'Retirement Planning'!$I$61-'Retirement Planning'!$J$57)*'Retirement Planning'!$I$58+'Retirement Planning'!$K$57,IF((SUM(Z350:Z361)-'Retirement Planning'!$I$54-'Retirement Planning'!$I$61)&gt;'Retirement Planning'!$J$56,(SUM(Z350:Z361)-'Retirement Planning'!$I$54-'Retirement Planning'!$I$61-'Retirement Planning'!$J$56)*'Retirement Planning'!$I$57+'Retirement Planning'!$K$56,(SUM(Z350:Z361)-'Retirement Planning'!$I$54-'Retirement Planning'!$I$61)*'Retirement Planning'!$I$56))))))/12,AA361)</f>
        <v>3948.4167670224365</v>
      </c>
      <c r="AB362" s="104">
        <f t="shared" ca="1" si="134"/>
        <v>0.26324768937567522</v>
      </c>
      <c r="AC362" s="7">
        <f>IF(B362&lt;65,'Retirement Planning'!$J$28,0)</f>
        <v>0</v>
      </c>
      <c r="AD362" s="7">
        <f>IF(B362&lt;65,'Retirement Planning'!$J$29/12,0)</f>
        <v>0</v>
      </c>
      <c r="AE362" s="22">
        <f>'Retirement Planning'!$J$31/12</f>
        <v>58.333333333333336</v>
      </c>
      <c r="AF362" s="22">
        <f>'Retirement Planning'!$J$32/12</f>
        <v>66.666666666666671</v>
      </c>
      <c r="AG362" s="7">
        <f>IF($B362&gt;64.9,'Retirement Planning'!$J$39/12,0)</f>
        <v>183.33333333333334</v>
      </c>
      <c r="AH362" s="7">
        <f>IF($B362&gt;64.9,'Retirement Planning'!$J$40/12,0)</f>
        <v>258.33333333333331</v>
      </c>
      <c r="AI362" s="7">
        <f>IF($B362&gt;64.9,'Retirement Planning'!$J$41/12,0)</f>
        <v>558.33333333333337</v>
      </c>
      <c r="AJ362" s="7">
        <f t="shared" ca="1" si="144"/>
        <v>316.66666666666663</v>
      </c>
      <c r="AK362" s="3" t="str">
        <f ca="1">IF(AND(R362&lt;AN362,R361&gt;AN361),C362,AK361)</f>
        <v>N/A</v>
      </c>
      <c r="AL362" s="6" t="str">
        <f ca="1">IF(AND(R362&lt;AN362,R361&gt;AN361),B362,AL361)</f>
        <v>N/A</v>
      </c>
      <c r="AM362" s="7">
        <f t="shared" ca="1" si="147"/>
        <v>-6.8212102632969618E-13</v>
      </c>
      <c r="AN362" s="7">
        <f t="shared" ca="1" si="148"/>
        <v>19152.207798436219</v>
      </c>
      <c r="AO362" s="7">
        <f t="shared" si="149"/>
        <v>1125</v>
      </c>
    </row>
    <row r="363" spans="1:41" x14ac:dyDescent="0.2">
      <c r="A363">
        <f t="shared" si="150"/>
        <v>50</v>
      </c>
      <c r="B363" s="5">
        <f t="shared" si="151"/>
        <v>85.7</v>
      </c>
      <c r="C363" s="56">
        <f t="shared" si="152"/>
        <v>57162</v>
      </c>
      <c r="D363" s="57">
        <f ca="1">IF(AND(B362&lt;59.5,OR(B363&gt;59.5,B363=59.5)),(D362-E362+J362-K362)*(1+'Retirement Planning'!$J$23/12),(D362-E362)*(1+'Retirement Planning'!$J$23/12))</f>
        <v>868521.49910296942</v>
      </c>
      <c r="E363" s="58">
        <f t="shared" ca="1" si="139"/>
        <v>1882.0815201195583</v>
      </c>
      <c r="F363" s="57">
        <f ca="1">IF(AND(OR(B363&gt;59.5,B363=59.5),B362&lt;59.5),(F362-G362+L362-M362+N362-O362)*(1+'Retirement Planning'!$J$23/12),(F362-G362)*(1+'Retirement Planning'!$J$23/12))</f>
        <v>1211653.2302948246</v>
      </c>
      <c r="G363" s="58">
        <f ca="1">IF(AND($B$10&lt;55,B363&lt;59.5),'Retirement Planning'!$J$25,IF(OR(B363&gt;59.5,B363=59.5),MAX(0,MIN(F363,IF(D363&lt;2500,((Y363+AJ363+AA363))-X363,((Y363+AJ363+AA363)*'Retirement Planning'!$J$44)-X363))),0))</f>
        <v>13644.938316733338</v>
      </c>
      <c r="H363" s="255">
        <f ca="1">IF(MONTH(C363)=1,IF(B363&gt;69.5,F363/(INDEX('Retirement Planning'!D$1:D$264,(160+INT(B363))))/12,0),IF(F363=0,0,H362))</f>
        <v>12776.279499512033</v>
      </c>
      <c r="I363" s="262">
        <f t="shared" ca="1" si="140"/>
        <v>0</v>
      </c>
      <c r="J363" s="254">
        <f ca="1">IF(AND(B362&lt;59.5,OR(B363=59.5,B363&gt;59.5)),0,(J362-K362)*(1+'Retirement Planning'!$J$23/12))</f>
        <v>0</v>
      </c>
      <c r="K363" s="58">
        <f t="shared" ca="1" si="141"/>
        <v>0</v>
      </c>
      <c r="L363" s="57">
        <f>IF(AND(OR(B363&gt;59.5,B363=59.5),B362&lt;59.5),0,(L362-M362)*(1+'Retirement Planning'!$J$23/12))</f>
        <v>0</v>
      </c>
      <c r="M363" s="59">
        <f>IF(AND($B$10&lt;55,B363&lt;59.5),0,IF(B363&lt;59.5,MAX(0,MIN((($Y363+$AJ363+AA363)*'Retirement Planning'!$J$44)-$G363-$X363,L363)),0))</f>
        <v>0</v>
      </c>
      <c r="N363" s="57">
        <f ca="1">(N362-O362)*(1+'Retirement Planning'!$J$23/12)</f>
        <v>0</v>
      </c>
      <c r="O363" s="59">
        <f ca="1">IF(B363&gt;59.5,MAX(0,MIN((AA363+$Y363+$AJ363)*(IF(D363&lt;(MIN(E351:E362)+1),1,'Retirement Planning'!$J$44))-M363-$G363-$X363-(IF(D363&lt;(MIN(E351:E362)+1),D363,0)),N363)),0)</f>
        <v>0</v>
      </c>
      <c r="P363" s="57">
        <f t="shared" si="153"/>
        <v>0</v>
      </c>
      <c r="Q363" s="58">
        <f t="shared" si="154"/>
        <v>0</v>
      </c>
      <c r="R363" s="57">
        <f ca="1">(R362-S362-T362)*(1+'Retirement Planning'!$J$23/12)</f>
        <v>1178695.5408475988</v>
      </c>
      <c r="S363" s="58">
        <f t="shared" ca="1" si="155"/>
        <v>808.33333333333337</v>
      </c>
      <c r="T363" s="273">
        <f t="shared" ca="1" si="142"/>
        <v>-3.637978807091713E-12</v>
      </c>
      <c r="U363" s="57">
        <f ca="1">(U362-V362)*(1+'Retirement Planning'!$J$23/12)</f>
        <v>709811.96331339364</v>
      </c>
      <c r="V363" s="24">
        <f ca="1">IF(AND($B$10&lt;55,B363&lt;59.5),MIN(U363,MAX(0,(Y363+AA363+AJ363-G363)*'Retirement Planning'!$J$45)),IF(B363&lt;59.5,(MIN(U363,MAX(0,((Y363+AA363+AJ363)-G363-M363)*'Retirement Planning'!$J$45))),MIN(U363,MAX(0,(Y363+AA363+AJ363-G363-M363-K363-X363)*'Retirement Planning'!$J$45))))</f>
        <v>1603.2546282499923</v>
      </c>
      <c r="W363" s="7">
        <f t="shared" ca="1" si="143"/>
        <v>3968682.2335587866</v>
      </c>
      <c r="X363" s="7">
        <f>(IF(B363&gt;'Retirement Planning'!$J$34,IF('Retirement Planning'!$J$34=70,'Retirement Planning'!$J$37/12,IF('Retirement Planning'!$J$34=67,'Retirement Planning'!$J$36/12,'Retirement Planning'!$J$35/12)),0))*'Retirement Planning'!$J$38</f>
        <v>1213.6000000000001</v>
      </c>
      <c r="Y363" s="7">
        <f ca="1">'Retirement Planning'!$F$35*((1+'Retirement Planning'!$J$24)^(YEAR('Projected Retirement Drawdown'!C363)-YEAR(TODAY())))</f>
        <v>14078.791031413783</v>
      </c>
      <c r="Z363" s="7">
        <f ca="1">G363+M363+O363+0.85*X363+V363*'Retirement Planning'!$J$46+T363</f>
        <v>15558.28836227083</v>
      </c>
      <c r="AA363" s="7">
        <f ca="1">IF(MONTH(C363)=1,(((MIN(MAX(0,((SUM(Z351:Z362)-'Retirement Planning'!$I$53-'Retirement Planning'!$I$54)-'Retirement Planning'!$J$51)*'Retirement Planning'!$I$52))))+(MIN(MAX(0,((SUM(Z351:Z362)-'Retirement Planning'!$I$53-'Retirement Planning'!$I$54)-'Retirement Planning'!$J$50)*'Retirement Planning'!$I$51),('Retirement Planning'!$J$51-'Retirement Planning'!$J$50)*'Retirement Planning'!$I$51))+(MIN(MAX(0,((SUM(Z351:Z362)-'Retirement Planning'!$I$53-'Retirement Planning'!$I$54)-'Retirement Planning'!$J$49)*'Retirement Planning'!$I$50),('Retirement Planning'!$J$50-'Retirement Planning'!$J$49)*'Retirement Planning'!$I$50)+MIN(MAX(0,((SUM(Z351:Z362)-'Retirement Planning'!$I$53-'Retirement Planning'!$I$54)-'Retirement Planning'!$J$48)*'Retirement Planning'!$I$49),('Retirement Planning'!$J$49-'Retirement Planning'!$J$48)*'Retirement Planning'!$I$49)+MIN(((SUM(Z351:Z362)-'Retirement Planning'!$I$53-'Retirement Planning'!$I$54))*'Retirement Planning'!$I$48,('Retirement Planning'!$J$48)*'Retirement Planning'!$I$48))+(IF((SUM(Z351:Z362)-'Retirement Planning'!$I$54-'Retirement Planning'!$I$61)&gt;'Retirement Planning'!$J$59,(SUM(Z351:Z362)-'Retirement Planning'!$I$54-'Retirement Planning'!$I$61-'Retirement Planning'!$J$59)*'Retirement Planning'!$I$60+'Retirement Planning'!$K$59,IF((SUM(Z351:Z362)-'Retirement Planning'!$I$54-'Retirement Planning'!$I$61)&gt;'Retirement Planning'!$J$58,(SUM(Z351:Z362)-'Retirement Planning'!$I$54-'Retirement Planning'!$I$61-'Retirement Planning'!$J$58)*'Retirement Planning'!$I$59+'Retirement Planning'!$K$58,IF((SUM(Z351:Z362)-'Retirement Planning'!$I$54-'Retirement Planning'!$I$61)&gt;'Retirement Planning'!$J$57,(SUM(Z351:Z362)-'Retirement Planning'!$I$54-'Retirement Planning'!$I$61-'Retirement Planning'!$J$57)*'Retirement Planning'!$I$58+'Retirement Planning'!$K$57,IF((SUM(Z351:Z362)-'Retirement Planning'!$I$54-'Retirement Planning'!$I$61)&gt;'Retirement Planning'!$J$56,(SUM(Z351:Z362)-'Retirement Planning'!$I$54-'Retirement Planning'!$I$61-'Retirement Planning'!$J$56)*'Retirement Planning'!$I$57+'Retirement Planning'!$K$56,(SUM(Z351:Z362)-'Retirement Planning'!$I$54-'Retirement Planning'!$I$61)*'Retirement Planning'!$I$56))))))/12,AA362)</f>
        <v>3948.4167670224365</v>
      </c>
      <c r="AB363" s="104">
        <f t="shared" ca="1" si="134"/>
        <v>0.26324768937567522</v>
      </c>
      <c r="AC363" s="7">
        <f>IF(B363&lt;65,'Retirement Planning'!$J$28,0)</f>
        <v>0</v>
      </c>
      <c r="AD363" s="7">
        <f>IF(B363&lt;65,'Retirement Planning'!$J$29/12,0)</f>
        <v>0</v>
      </c>
      <c r="AE363" s="22">
        <f>'Retirement Planning'!$J$31/12</f>
        <v>58.333333333333336</v>
      </c>
      <c r="AF363" s="22">
        <f>'Retirement Planning'!$J$32/12</f>
        <v>66.666666666666671</v>
      </c>
      <c r="AG363" s="7">
        <f>IF($B363&gt;64.9,'Retirement Planning'!$J$39/12,0)</f>
        <v>183.33333333333334</v>
      </c>
      <c r="AH363" s="7">
        <f>IF($B363&gt;64.9,'Retirement Planning'!$J$40/12,0)</f>
        <v>258.33333333333331</v>
      </c>
      <c r="AI363" s="7">
        <f>IF($B363&gt;64.9,'Retirement Planning'!$J$41/12,0)</f>
        <v>558.33333333333337</v>
      </c>
      <c r="AJ363" s="7">
        <f t="shared" ca="1" si="144"/>
        <v>316.66666666666663</v>
      </c>
      <c r="AK363" s="3" t="str">
        <f t="shared" ref="AK363:AK426" ca="1" si="162">IF(AND(R363&lt;AN363,R362&gt;AN362),C363,AK362)</f>
        <v>N/A</v>
      </c>
      <c r="AL363" s="6" t="str">
        <f t="shared" ref="AL363:AL426" ca="1" si="163">IF(AND(R363&lt;AN363,R362&gt;AN362),B363,AL362)</f>
        <v>N/A</v>
      </c>
      <c r="AM363" s="7">
        <f t="shared" ca="1" si="147"/>
        <v>-6.8212102632969618E-13</v>
      </c>
      <c r="AN363" s="7">
        <f t="shared" ca="1" si="148"/>
        <v>19152.207798436219</v>
      </c>
      <c r="AO363" s="7">
        <f t="shared" si="149"/>
        <v>1125</v>
      </c>
    </row>
    <row r="364" spans="1:41" x14ac:dyDescent="0.2">
      <c r="A364">
        <f t="shared" si="150"/>
        <v>50</v>
      </c>
      <c r="B364" s="5">
        <f t="shared" si="151"/>
        <v>85.8</v>
      </c>
      <c r="C364" s="56">
        <f t="shared" si="152"/>
        <v>57193</v>
      </c>
      <c r="D364" s="57">
        <f ca="1">IF(AND(B363&lt;59.5,OR(B364&gt;59.5,B364=59.5)),(D363-E363+J363-K363)*(1+'Retirement Planning'!$J$23/12),(D363-E363)*(1+'Retirement Planning'!$J$23/12))</f>
        <v>872778.113457395</v>
      </c>
      <c r="E364" s="58">
        <f t="shared" ca="1" si="139"/>
        <v>1882.0815201195583</v>
      </c>
      <c r="F364" s="57">
        <f ca="1">IF(AND(OR(B364&gt;59.5,B364=59.5),B363&lt;59.5),(F363-G363+L363-M363+N363-O363)*(1+'Retirement Planning'!$J$23/12),(F363-G363)*(1+'Retirement Planning'!$J$23/12))</f>
        <v>1206494.1840462694</v>
      </c>
      <c r="G364" s="58">
        <f ca="1">IF(AND($B$10&lt;55,B364&lt;59.5),'Retirement Planning'!$J$25,IF(OR(B364&gt;59.5,B364=59.5),MAX(0,MIN(F364,IF(D364&lt;2500,((Y364+AJ364+AA364))-X364,((Y364+AJ364+AA364)*'Retirement Planning'!$J$44)-X364))),0))</f>
        <v>13644.938316733338</v>
      </c>
      <c r="H364" s="255">
        <f ca="1">IF(MONTH(C364)=1,IF(B364&gt;69.5,F364/(INDEX('Retirement Planning'!D$1:D$264,(160+INT(B364))))/12,0),IF(F364=0,0,H363))</f>
        <v>12776.279499512033</v>
      </c>
      <c r="I364" s="262">
        <f t="shared" ca="1" si="140"/>
        <v>0</v>
      </c>
      <c r="J364" s="254">
        <f ca="1">IF(AND(B363&lt;59.5,OR(B364=59.5,B364&gt;59.5)),0,(J363-K363)*(1+'Retirement Planning'!$J$23/12))</f>
        <v>0</v>
      </c>
      <c r="K364" s="58">
        <f t="shared" ca="1" si="141"/>
        <v>0</v>
      </c>
      <c r="L364" s="57">
        <f>IF(AND(OR(B364&gt;59.5,B364=59.5),B363&lt;59.5),0,(L363-M363)*(1+'Retirement Planning'!$J$23/12))</f>
        <v>0</v>
      </c>
      <c r="M364" s="59">
        <f>IF(AND($B$10&lt;55,B364&lt;59.5),0,IF(B364&lt;59.5,MAX(0,MIN((($Y364+$AJ364+AA364)*'Retirement Planning'!$J$44)-$G364-$X364,L364)),0))</f>
        <v>0</v>
      </c>
      <c r="N364" s="57">
        <f ca="1">(N363-O363)*(1+'Retirement Planning'!$J$23/12)</f>
        <v>0</v>
      </c>
      <c r="O364" s="59">
        <f ca="1">IF(B364&gt;59.5,MAX(0,MIN((AA364+$Y364+$AJ364)*(IF(D364&lt;(MIN(E352:E363)+1),1,'Retirement Planning'!$J$44))-M364-$G364-$X364-(IF(D364&lt;(MIN(E352:E363)+1),D364,0)),N364)),0)</f>
        <v>0</v>
      </c>
      <c r="P364" s="57">
        <f t="shared" si="153"/>
        <v>0</v>
      </c>
      <c r="Q364" s="58">
        <f t="shared" si="154"/>
        <v>0</v>
      </c>
      <c r="R364" s="57">
        <f ca="1">(R363-S363-T363)*(1+'Retirement Planning'!$J$23/12)</f>
        <v>1186230.5752341582</v>
      </c>
      <c r="S364" s="58">
        <f t="shared" ca="1" si="155"/>
        <v>808.33333333333337</v>
      </c>
      <c r="T364" s="273">
        <f t="shared" ca="1" si="142"/>
        <v>-3.637978807091713E-12</v>
      </c>
      <c r="U364" s="57">
        <f ca="1">(U363-V363)*(1+'Retirement Planning'!$J$23/12)</f>
        <v>713225.18703833001</v>
      </c>
      <c r="V364" s="24">
        <f ca="1">IF(AND($B$10&lt;55,B364&lt;59.5),MIN(U364,MAX(0,(Y364+AA364+AJ364-G364)*'Retirement Planning'!$J$45)),IF(B364&lt;59.5,(MIN(U364,MAX(0,((Y364+AA364+AJ364)-G364-M364)*'Retirement Planning'!$J$45))),MIN(U364,MAX(0,(Y364+AA364+AJ364-G364-M364-K364-X364)*'Retirement Planning'!$J$45))))</f>
        <v>1603.2546282499923</v>
      </c>
      <c r="W364" s="7">
        <f t="shared" ca="1" si="143"/>
        <v>3978728.0597761525</v>
      </c>
      <c r="X364" s="7">
        <f>(IF(B364&gt;'Retirement Planning'!$J$34,IF('Retirement Planning'!$J$34=70,'Retirement Planning'!$J$37/12,IF('Retirement Planning'!$J$34=67,'Retirement Planning'!$J$36/12,'Retirement Planning'!$J$35/12)),0))*'Retirement Planning'!$J$38</f>
        <v>1213.6000000000001</v>
      </c>
      <c r="Y364" s="7">
        <f ca="1">'Retirement Planning'!$F$35*((1+'Retirement Planning'!$J$24)^(YEAR('Projected Retirement Drawdown'!C364)-YEAR(TODAY())))</f>
        <v>14078.791031413783</v>
      </c>
      <c r="Z364" s="7">
        <f ca="1">G364+M364+O364+0.85*X364+V364*'Retirement Planning'!$J$46+T364</f>
        <v>15558.28836227083</v>
      </c>
      <c r="AA364" s="7">
        <f ca="1">IF(MONTH(C364)=1,(((MIN(MAX(0,((SUM(Z352:Z363)-'Retirement Planning'!$I$53-'Retirement Planning'!$I$54)-'Retirement Planning'!$J$51)*'Retirement Planning'!$I$52))))+(MIN(MAX(0,((SUM(Z352:Z363)-'Retirement Planning'!$I$53-'Retirement Planning'!$I$54)-'Retirement Planning'!$J$50)*'Retirement Planning'!$I$51),('Retirement Planning'!$J$51-'Retirement Planning'!$J$50)*'Retirement Planning'!$I$51))+(MIN(MAX(0,((SUM(Z352:Z363)-'Retirement Planning'!$I$53-'Retirement Planning'!$I$54)-'Retirement Planning'!$J$49)*'Retirement Planning'!$I$50),('Retirement Planning'!$J$50-'Retirement Planning'!$J$49)*'Retirement Planning'!$I$50)+MIN(MAX(0,((SUM(Z352:Z363)-'Retirement Planning'!$I$53-'Retirement Planning'!$I$54)-'Retirement Planning'!$J$48)*'Retirement Planning'!$I$49),('Retirement Planning'!$J$49-'Retirement Planning'!$J$48)*'Retirement Planning'!$I$49)+MIN(((SUM(Z352:Z363)-'Retirement Planning'!$I$53-'Retirement Planning'!$I$54))*'Retirement Planning'!$I$48,('Retirement Planning'!$J$48)*'Retirement Planning'!$I$48))+(IF((SUM(Z352:Z363)-'Retirement Planning'!$I$54-'Retirement Planning'!$I$61)&gt;'Retirement Planning'!$J$59,(SUM(Z352:Z363)-'Retirement Planning'!$I$54-'Retirement Planning'!$I$61-'Retirement Planning'!$J$59)*'Retirement Planning'!$I$60+'Retirement Planning'!$K$59,IF((SUM(Z352:Z363)-'Retirement Planning'!$I$54-'Retirement Planning'!$I$61)&gt;'Retirement Planning'!$J$58,(SUM(Z352:Z363)-'Retirement Planning'!$I$54-'Retirement Planning'!$I$61-'Retirement Planning'!$J$58)*'Retirement Planning'!$I$59+'Retirement Planning'!$K$58,IF((SUM(Z352:Z363)-'Retirement Planning'!$I$54-'Retirement Planning'!$I$61)&gt;'Retirement Planning'!$J$57,(SUM(Z352:Z363)-'Retirement Planning'!$I$54-'Retirement Planning'!$I$61-'Retirement Planning'!$J$57)*'Retirement Planning'!$I$58+'Retirement Planning'!$K$57,IF((SUM(Z352:Z363)-'Retirement Planning'!$I$54-'Retirement Planning'!$I$61)&gt;'Retirement Planning'!$J$56,(SUM(Z352:Z363)-'Retirement Planning'!$I$54-'Retirement Planning'!$I$61-'Retirement Planning'!$J$56)*'Retirement Planning'!$I$57+'Retirement Planning'!$K$56,(SUM(Z352:Z363)-'Retirement Planning'!$I$54-'Retirement Planning'!$I$61)*'Retirement Planning'!$I$56))))))/12,AA363)</f>
        <v>3948.4167670224365</v>
      </c>
      <c r="AB364" s="104">
        <f t="shared" ca="1" si="134"/>
        <v>0.26324768937567522</v>
      </c>
      <c r="AC364" s="7">
        <f>IF(B364&lt;65,'Retirement Planning'!$J$28,0)</f>
        <v>0</v>
      </c>
      <c r="AD364" s="7">
        <f>IF(B364&lt;65,'Retirement Planning'!$J$29/12,0)</f>
        <v>0</v>
      </c>
      <c r="AE364" s="22">
        <f>'Retirement Planning'!$J$31/12</f>
        <v>58.333333333333336</v>
      </c>
      <c r="AF364" s="22">
        <f>'Retirement Planning'!$J$32/12</f>
        <v>66.666666666666671</v>
      </c>
      <c r="AG364" s="7">
        <f>IF($B364&gt;64.9,'Retirement Planning'!$J$39/12,0)</f>
        <v>183.33333333333334</v>
      </c>
      <c r="AH364" s="7">
        <f>IF($B364&gt;64.9,'Retirement Planning'!$J$40/12,0)</f>
        <v>258.33333333333331</v>
      </c>
      <c r="AI364" s="7">
        <f>IF($B364&gt;64.9,'Retirement Planning'!$J$41/12,0)</f>
        <v>558.33333333333337</v>
      </c>
      <c r="AJ364" s="7">
        <f t="shared" ca="1" si="144"/>
        <v>316.66666666666663</v>
      </c>
      <c r="AK364" s="3" t="str">
        <f t="shared" ca="1" si="162"/>
        <v>N/A</v>
      </c>
      <c r="AL364" s="6" t="str">
        <f t="shared" ca="1" si="163"/>
        <v>N/A</v>
      </c>
      <c r="AM364" s="7">
        <f t="shared" ca="1" si="147"/>
        <v>-6.8212102632969618E-13</v>
      </c>
      <c r="AN364" s="7">
        <f t="shared" ca="1" si="148"/>
        <v>19152.207798436219</v>
      </c>
      <c r="AO364" s="7">
        <f t="shared" si="149"/>
        <v>1125</v>
      </c>
    </row>
    <row r="365" spans="1:41" x14ac:dyDescent="0.2">
      <c r="A365">
        <f t="shared" si="150"/>
        <v>50</v>
      </c>
      <c r="B365" s="5">
        <f t="shared" si="151"/>
        <v>85.9</v>
      </c>
      <c r="C365" s="56">
        <f t="shared" si="152"/>
        <v>57224</v>
      </c>
      <c r="D365" s="57">
        <f ca="1">IF(AND(B364&lt;59.5,OR(B365&gt;59.5,B365=59.5)),(D364-E364+J364-K364)*(1+'Retirement Planning'!$J$23/12),(D364-E364)*(1+'Retirement Planning'!$J$23/12))</f>
        <v>877064.87883016444</v>
      </c>
      <c r="E365" s="58">
        <f t="shared" ca="1" si="139"/>
        <v>1882.0815201195583</v>
      </c>
      <c r="F365" s="57">
        <f ca="1">IF(AND(OR(B365&gt;59.5,B365=59.5),B364&lt;59.5),(F364-G364+L364-M364+N364-O364)*(1+'Retirement Planning'!$J$23/12),(F364-G364)*(1+'Retirement Planning'!$J$23/12))</f>
        <v>1201298.5945534536</v>
      </c>
      <c r="G365" s="58">
        <f ca="1">IF(AND($B$10&lt;55,B365&lt;59.5),'Retirement Planning'!$J$25,IF(OR(B365&gt;59.5,B365=59.5),MAX(0,MIN(F365,IF(D365&lt;2500,((Y365+AJ365+AA365))-X365,((Y365+AJ365+AA365)*'Retirement Planning'!$J$44)-X365))),0))</f>
        <v>13644.938316733338</v>
      </c>
      <c r="H365" s="255">
        <f ca="1">IF(MONTH(C365)=1,IF(B365&gt;69.5,F365/(INDEX('Retirement Planning'!D$1:D$264,(160+INT(B365))))/12,0),IF(F365=0,0,H364))</f>
        <v>12776.279499512033</v>
      </c>
      <c r="I365" s="262">
        <f t="shared" ca="1" si="140"/>
        <v>0</v>
      </c>
      <c r="J365" s="254">
        <f ca="1">IF(AND(B364&lt;59.5,OR(B365=59.5,B365&gt;59.5)),0,(J364-K364)*(1+'Retirement Planning'!$J$23/12))</f>
        <v>0</v>
      </c>
      <c r="K365" s="58">
        <f t="shared" ca="1" si="141"/>
        <v>0</v>
      </c>
      <c r="L365" s="57">
        <f>IF(AND(OR(B365&gt;59.5,B365=59.5),B364&lt;59.5),0,(L364-M364)*(1+'Retirement Planning'!$J$23/12))</f>
        <v>0</v>
      </c>
      <c r="M365" s="59">
        <f>IF(AND($B$10&lt;55,B365&lt;59.5),0,IF(B365&lt;59.5,MAX(0,MIN((($Y365+$AJ365+AA365)*'Retirement Planning'!$J$44)-$G365-$X365,L365)),0))</f>
        <v>0</v>
      </c>
      <c r="N365" s="57">
        <f ca="1">(N364-O364)*(1+'Retirement Planning'!$J$23/12)</f>
        <v>0</v>
      </c>
      <c r="O365" s="59">
        <f ca="1">IF(B365&gt;59.5,MAX(0,MIN((AA365+$Y365+$AJ365)*(IF(D365&lt;(MIN(E353:E364)+1),1,'Retirement Planning'!$J$44))-M365-$G365-$X365-(IF(D365&lt;(MIN(E353:E364)+1),D365,0)),N365)),0)</f>
        <v>0</v>
      </c>
      <c r="P365" s="57">
        <f t="shared" si="153"/>
        <v>0</v>
      </c>
      <c r="Q365" s="58">
        <f t="shared" si="154"/>
        <v>0</v>
      </c>
      <c r="R365" s="57">
        <f ca="1">(R364-S364-T364)*(1+'Retirement Planning'!$J$23/12)</f>
        <v>1193818.9827809557</v>
      </c>
      <c r="S365" s="58">
        <f t="shared" ca="1" si="155"/>
        <v>808.33333333333337</v>
      </c>
      <c r="T365" s="273">
        <f t="shared" ca="1" si="142"/>
        <v>-3.637978807091713E-12</v>
      </c>
      <c r="U365" s="57">
        <f ca="1">(U364-V364)*(1+'Retirement Planning'!$J$23/12)</f>
        <v>716662.5877646514</v>
      </c>
      <c r="V365" s="24">
        <f ca="1">IF(AND($B$10&lt;55,B365&lt;59.5),MIN(U365,MAX(0,(Y365+AA365+AJ365-G365)*'Retirement Planning'!$J$45)),IF(B365&lt;59.5,(MIN(U365,MAX(0,((Y365+AA365+AJ365)-G365-M365)*'Retirement Planning'!$J$45))),MIN(U365,MAX(0,(Y365+AA365+AJ365-G365-M365-K365-X365)*'Retirement Planning'!$J$45))))</f>
        <v>1603.2546282499923</v>
      </c>
      <c r="W365" s="7">
        <f t="shared" ca="1" si="143"/>
        <v>3988845.0439292253</v>
      </c>
      <c r="X365" s="7">
        <f>(IF(B365&gt;'Retirement Planning'!$J$34,IF('Retirement Planning'!$J$34=70,'Retirement Planning'!$J$37/12,IF('Retirement Planning'!$J$34=67,'Retirement Planning'!$J$36/12,'Retirement Planning'!$J$35/12)),0))*'Retirement Planning'!$J$38</f>
        <v>1213.6000000000001</v>
      </c>
      <c r="Y365" s="7">
        <f ca="1">'Retirement Planning'!$F$35*((1+'Retirement Planning'!$J$24)^(YEAR('Projected Retirement Drawdown'!C365)-YEAR(TODAY())))</f>
        <v>14078.791031413783</v>
      </c>
      <c r="Z365" s="7">
        <f ca="1">G365+M365+O365+0.85*X365+V365*'Retirement Planning'!$J$46+T365</f>
        <v>15558.28836227083</v>
      </c>
      <c r="AA365" s="7">
        <f ca="1">IF(MONTH(C365)=1,(((MIN(MAX(0,((SUM(Z353:Z364)-'Retirement Planning'!$I$53-'Retirement Planning'!$I$54)-'Retirement Planning'!$J$51)*'Retirement Planning'!$I$52))))+(MIN(MAX(0,((SUM(Z353:Z364)-'Retirement Planning'!$I$53-'Retirement Planning'!$I$54)-'Retirement Planning'!$J$50)*'Retirement Planning'!$I$51),('Retirement Planning'!$J$51-'Retirement Planning'!$J$50)*'Retirement Planning'!$I$51))+(MIN(MAX(0,((SUM(Z353:Z364)-'Retirement Planning'!$I$53-'Retirement Planning'!$I$54)-'Retirement Planning'!$J$49)*'Retirement Planning'!$I$50),('Retirement Planning'!$J$50-'Retirement Planning'!$J$49)*'Retirement Planning'!$I$50)+MIN(MAX(0,((SUM(Z353:Z364)-'Retirement Planning'!$I$53-'Retirement Planning'!$I$54)-'Retirement Planning'!$J$48)*'Retirement Planning'!$I$49),('Retirement Planning'!$J$49-'Retirement Planning'!$J$48)*'Retirement Planning'!$I$49)+MIN(((SUM(Z353:Z364)-'Retirement Planning'!$I$53-'Retirement Planning'!$I$54))*'Retirement Planning'!$I$48,('Retirement Planning'!$J$48)*'Retirement Planning'!$I$48))+(IF((SUM(Z353:Z364)-'Retirement Planning'!$I$54-'Retirement Planning'!$I$61)&gt;'Retirement Planning'!$J$59,(SUM(Z353:Z364)-'Retirement Planning'!$I$54-'Retirement Planning'!$I$61-'Retirement Planning'!$J$59)*'Retirement Planning'!$I$60+'Retirement Planning'!$K$59,IF((SUM(Z353:Z364)-'Retirement Planning'!$I$54-'Retirement Planning'!$I$61)&gt;'Retirement Planning'!$J$58,(SUM(Z353:Z364)-'Retirement Planning'!$I$54-'Retirement Planning'!$I$61-'Retirement Planning'!$J$58)*'Retirement Planning'!$I$59+'Retirement Planning'!$K$58,IF((SUM(Z353:Z364)-'Retirement Planning'!$I$54-'Retirement Planning'!$I$61)&gt;'Retirement Planning'!$J$57,(SUM(Z353:Z364)-'Retirement Planning'!$I$54-'Retirement Planning'!$I$61-'Retirement Planning'!$J$57)*'Retirement Planning'!$I$58+'Retirement Planning'!$K$57,IF((SUM(Z353:Z364)-'Retirement Planning'!$I$54-'Retirement Planning'!$I$61)&gt;'Retirement Planning'!$J$56,(SUM(Z353:Z364)-'Retirement Planning'!$I$54-'Retirement Planning'!$I$61-'Retirement Planning'!$J$56)*'Retirement Planning'!$I$57+'Retirement Planning'!$K$56,(SUM(Z353:Z364)-'Retirement Planning'!$I$54-'Retirement Planning'!$I$61)*'Retirement Planning'!$I$56))))))/12,AA364)</f>
        <v>3948.4167670224365</v>
      </c>
      <c r="AB365" s="104">
        <f t="shared" ca="1" si="134"/>
        <v>0.26324768937567522</v>
      </c>
      <c r="AC365" s="7">
        <f>IF(B365&lt;65,'Retirement Planning'!$J$28,0)</f>
        <v>0</v>
      </c>
      <c r="AD365" s="7">
        <f>IF(B365&lt;65,'Retirement Planning'!$J$29/12,0)</f>
        <v>0</v>
      </c>
      <c r="AE365" s="22">
        <f>'Retirement Planning'!$J$31/12</f>
        <v>58.333333333333336</v>
      </c>
      <c r="AF365" s="22">
        <f>'Retirement Planning'!$J$32/12</f>
        <v>66.666666666666671</v>
      </c>
      <c r="AG365" s="7">
        <f>IF($B365&gt;64.9,'Retirement Planning'!$J$39/12,0)</f>
        <v>183.33333333333334</v>
      </c>
      <c r="AH365" s="7">
        <f>IF($B365&gt;64.9,'Retirement Planning'!$J$40/12,0)</f>
        <v>258.33333333333331</v>
      </c>
      <c r="AI365" s="7">
        <f>IF($B365&gt;64.9,'Retirement Planning'!$J$41/12,0)</f>
        <v>558.33333333333337</v>
      </c>
      <c r="AJ365" s="7">
        <f t="shared" ca="1" si="144"/>
        <v>316.66666666666663</v>
      </c>
      <c r="AK365" s="3" t="str">
        <f t="shared" ca="1" si="162"/>
        <v>N/A</v>
      </c>
      <c r="AL365" s="6" t="str">
        <f t="shared" ca="1" si="163"/>
        <v>N/A</v>
      </c>
      <c r="AM365" s="7">
        <f t="shared" ca="1" si="147"/>
        <v>-6.8212102632969618E-13</v>
      </c>
      <c r="AN365" s="7">
        <f t="shared" ca="1" si="148"/>
        <v>19152.207798436219</v>
      </c>
      <c r="AO365" s="7">
        <f t="shared" si="149"/>
        <v>1125</v>
      </c>
    </row>
    <row r="366" spans="1:41" x14ac:dyDescent="0.2">
      <c r="A366">
        <f t="shared" si="150"/>
        <v>50</v>
      </c>
      <c r="B366" s="5">
        <f t="shared" si="151"/>
        <v>86</v>
      </c>
      <c r="C366" s="56">
        <f t="shared" si="152"/>
        <v>57254</v>
      </c>
      <c r="D366" s="57">
        <f ca="1">IF(AND(B365&lt;59.5,OR(B366&gt;59.5,B366=59.5)),(D365-E365+J365-K365)*(1+'Retirement Planning'!$J$23/12),(D365-E365)*(1+'Retirement Planning'!$J$23/12))</f>
        <v>881382.00879099104</v>
      </c>
      <c r="E366" s="58">
        <f t="shared" ca="1" si="139"/>
        <v>1882.0815201195583</v>
      </c>
      <c r="F366" s="57">
        <f ca="1">IF(AND(OR(B366&gt;59.5,B366=59.5),B365&lt;59.5),(F365-G365+L365-M365+N365-O365)*(1+'Retirement Planning'!$J$23/12),(F365-G365)*(1+'Retirement Planning'!$J$23/12))</f>
        <v>1196066.2029683969</v>
      </c>
      <c r="G366" s="58">
        <f ca="1">IF(AND($B$10&lt;55,B366&lt;59.5),'Retirement Planning'!$J$25,IF(OR(B366&gt;59.5,B366=59.5),MAX(0,MIN(F366,IF(D366&lt;2500,((Y366+AJ366+AA366))-X366,((Y366+AJ366+AA366)*'Retirement Planning'!$J$44)-X366))),0))</f>
        <v>13644.938316733338</v>
      </c>
      <c r="H366" s="255">
        <f ca="1">IF(MONTH(C366)=1,IF(B366&gt;69.5,F366/(INDEX('Retirement Planning'!D$1:D$264,(160+INT(B366))))/12,0),IF(F366=0,0,H365))</f>
        <v>12776.279499512033</v>
      </c>
      <c r="I366" s="262">
        <f t="shared" ca="1" si="140"/>
        <v>0</v>
      </c>
      <c r="J366" s="254">
        <f ca="1">IF(AND(B365&lt;59.5,OR(B366=59.5,B366&gt;59.5)),0,(J365-K365)*(1+'Retirement Planning'!$J$23/12))</f>
        <v>0</v>
      </c>
      <c r="K366" s="58">
        <f t="shared" ca="1" si="141"/>
        <v>0</v>
      </c>
      <c r="L366" s="57">
        <f>IF(AND(OR(B366&gt;59.5,B366=59.5),B365&lt;59.5),0,(L365-M365)*(1+'Retirement Planning'!$J$23/12))</f>
        <v>0</v>
      </c>
      <c r="M366" s="59">
        <f>IF(AND($B$10&lt;55,B366&lt;59.5),0,IF(B366&lt;59.5,MAX(0,MIN((($Y366+$AJ366+AA366)*'Retirement Planning'!$J$44)-$G366-$X366,L366)),0))</f>
        <v>0</v>
      </c>
      <c r="N366" s="57">
        <f ca="1">(N365-O365)*(1+'Retirement Planning'!$J$23/12)</f>
        <v>0</v>
      </c>
      <c r="O366" s="59">
        <f ca="1">IF(B366&gt;59.5,MAX(0,MIN((AA366+$Y366+$AJ366)*(IF(D366&lt;(MIN(E354:E365)+1),1,'Retirement Planning'!$J$44))-M366-$G366-$X366-(IF(D366&lt;(MIN(E354:E365)+1),D366,0)),N366)),0)</f>
        <v>0</v>
      </c>
      <c r="P366" s="57">
        <f t="shared" si="153"/>
        <v>0</v>
      </c>
      <c r="Q366" s="58">
        <f t="shared" si="154"/>
        <v>0</v>
      </c>
      <c r="R366" s="57">
        <f ca="1">(R365-S365-T365)*(1+'Retirement Planning'!$J$23/12)</f>
        <v>1201461.1415478764</v>
      </c>
      <c r="S366" s="58">
        <f t="shared" ca="1" si="155"/>
        <v>808.33333333333337</v>
      </c>
      <c r="T366" s="273">
        <f t="shared" ca="1" si="142"/>
        <v>-3.637978807091713E-12</v>
      </c>
      <c r="U366" s="57">
        <f ca="1">(U365-V365)*(1+'Retirement Planning'!$J$23/12)</f>
        <v>720124.33674611757</v>
      </c>
      <c r="V366" s="24">
        <f ca="1">IF(AND($B$10&lt;55,B366&lt;59.5),MIN(U366,MAX(0,(Y366+AA366+AJ366-G366)*'Retirement Planning'!$J$45)),IF(B366&lt;59.5,(MIN(U366,MAX(0,((Y366+AA366+AJ366)-G366-M366)*'Retirement Planning'!$J$45))),MIN(U366,MAX(0,(Y366+AA366+AJ366-G366-M366-K366-X366)*'Retirement Planning'!$J$45))))</f>
        <v>1603.2546282499923</v>
      </c>
      <c r="W366" s="7">
        <f t="shared" ca="1" si="143"/>
        <v>3999033.690053382</v>
      </c>
      <c r="X366" s="7">
        <f>(IF(B366&gt;'Retirement Planning'!$J$34,IF('Retirement Planning'!$J$34=70,'Retirement Planning'!$J$37/12,IF('Retirement Planning'!$J$34=67,'Retirement Planning'!$J$36/12,'Retirement Planning'!$J$35/12)),0))*'Retirement Planning'!$J$38</f>
        <v>1213.6000000000001</v>
      </c>
      <c r="Y366" s="7">
        <f ca="1">'Retirement Planning'!$F$35*((1+'Retirement Planning'!$J$24)^(YEAR('Projected Retirement Drawdown'!C366)-YEAR(TODAY())))</f>
        <v>14078.791031413783</v>
      </c>
      <c r="Z366" s="7">
        <f ca="1">G366+M366+O366+0.85*X366+V366*'Retirement Planning'!$J$46+T366</f>
        <v>15558.28836227083</v>
      </c>
      <c r="AA366" s="7">
        <f ca="1">IF(MONTH(C366)=1,(((MIN(MAX(0,((SUM(Z354:Z365)-'Retirement Planning'!$I$53-'Retirement Planning'!$I$54)-'Retirement Planning'!$J$51)*'Retirement Planning'!$I$52))))+(MIN(MAX(0,((SUM(Z354:Z365)-'Retirement Planning'!$I$53-'Retirement Planning'!$I$54)-'Retirement Planning'!$J$50)*'Retirement Planning'!$I$51),('Retirement Planning'!$J$51-'Retirement Planning'!$J$50)*'Retirement Planning'!$I$51))+(MIN(MAX(0,((SUM(Z354:Z365)-'Retirement Planning'!$I$53-'Retirement Planning'!$I$54)-'Retirement Planning'!$J$49)*'Retirement Planning'!$I$50),('Retirement Planning'!$J$50-'Retirement Planning'!$J$49)*'Retirement Planning'!$I$50)+MIN(MAX(0,((SUM(Z354:Z365)-'Retirement Planning'!$I$53-'Retirement Planning'!$I$54)-'Retirement Planning'!$J$48)*'Retirement Planning'!$I$49),('Retirement Planning'!$J$49-'Retirement Planning'!$J$48)*'Retirement Planning'!$I$49)+MIN(((SUM(Z354:Z365)-'Retirement Planning'!$I$53-'Retirement Planning'!$I$54))*'Retirement Planning'!$I$48,('Retirement Planning'!$J$48)*'Retirement Planning'!$I$48))+(IF((SUM(Z354:Z365)-'Retirement Planning'!$I$54-'Retirement Planning'!$I$61)&gt;'Retirement Planning'!$J$59,(SUM(Z354:Z365)-'Retirement Planning'!$I$54-'Retirement Planning'!$I$61-'Retirement Planning'!$J$59)*'Retirement Planning'!$I$60+'Retirement Planning'!$K$59,IF((SUM(Z354:Z365)-'Retirement Planning'!$I$54-'Retirement Planning'!$I$61)&gt;'Retirement Planning'!$J$58,(SUM(Z354:Z365)-'Retirement Planning'!$I$54-'Retirement Planning'!$I$61-'Retirement Planning'!$J$58)*'Retirement Planning'!$I$59+'Retirement Planning'!$K$58,IF((SUM(Z354:Z365)-'Retirement Planning'!$I$54-'Retirement Planning'!$I$61)&gt;'Retirement Planning'!$J$57,(SUM(Z354:Z365)-'Retirement Planning'!$I$54-'Retirement Planning'!$I$61-'Retirement Planning'!$J$57)*'Retirement Planning'!$I$58+'Retirement Planning'!$K$57,IF((SUM(Z354:Z365)-'Retirement Planning'!$I$54-'Retirement Planning'!$I$61)&gt;'Retirement Planning'!$J$56,(SUM(Z354:Z365)-'Retirement Planning'!$I$54-'Retirement Planning'!$I$61-'Retirement Planning'!$J$56)*'Retirement Planning'!$I$57+'Retirement Planning'!$K$56,(SUM(Z354:Z365)-'Retirement Planning'!$I$54-'Retirement Planning'!$I$61)*'Retirement Planning'!$I$56))))))/12,AA365)</f>
        <v>3948.4167670224365</v>
      </c>
      <c r="AB366" s="104">
        <f t="shared" ref="AB366:AB429" ca="1" si="164">AB365</f>
        <v>0.26324768937567522</v>
      </c>
      <c r="AC366" s="7">
        <f>IF(B366&lt;65,'Retirement Planning'!$J$28,0)</f>
        <v>0</v>
      </c>
      <c r="AD366" s="7">
        <f>IF(B366&lt;65,'Retirement Planning'!$J$29/12,0)</f>
        <v>0</v>
      </c>
      <c r="AE366" s="22">
        <f>'Retirement Planning'!$J$31/12</f>
        <v>58.333333333333336</v>
      </c>
      <c r="AF366" s="22">
        <f>'Retirement Planning'!$J$32/12</f>
        <v>66.666666666666671</v>
      </c>
      <c r="AG366" s="7">
        <f>IF($B366&gt;64.9,'Retirement Planning'!$J$39/12,0)</f>
        <v>183.33333333333334</v>
      </c>
      <c r="AH366" s="7">
        <f>IF($B366&gt;64.9,'Retirement Planning'!$J$40/12,0)</f>
        <v>258.33333333333331</v>
      </c>
      <c r="AI366" s="7">
        <f>IF($B366&gt;64.9,'Retirement Planning'!$J$41/12,0)</f>
        <v>558.33333333333337</v>
      </c>
      <c r="AJ366" s="7">
        <f t="shared" ca="1" si="144"/>
        <v>316.66666666666663</v>
      </c>
      <c r="AK366" s="3" t="str">
        <f t="shared" ca="1" si="162"/>
        <v>N/A</v>
      </c>
      <c r="AL366" s="6" t="str">
        <f t="shared" ca="1" si="163"/>
        <v>N/A</v>
      </c>
      <c r="AM366" s="7">
        <f t="shared" ca="1" si="147"/>
        <v>-6.8212102632969618E-13</v>
      </c>
      <c r="AN366" s="7">
        <f t="shared" ca="1" si="148"/>
        <v>19152.207798436219</v>
      </c>
      <c r="AO366" s="7">
        <f t="shared" si="149"/>
        <v>1125</v>
      </c>
    </row>
    <row r="367" spans="1:41" x14ac:dyDescent="0.2">
      <c r="A367">
        <f t="shared" si="150"/>
        <v>50</v>
      </c>
      <c r="B367" s="5">
        <f t="shared" si="151"/>
        <v>86</v>
      </c>
      <c r="C367" s="56">
        <f t="shared" si="152"/>
        <v>57285</v>
      </c>
      <c r="D367" s="57">
        <f ca="1">IF(AND(B366&lt;59.5,OR(B367&gt;59.5,B367=59.5)),(D366-E366+J366-K366)*(1+'Retirement Planning'!$J$23/12),(D366-E366)*(1+'Retirement Planning'!$J$23/12))</f>
        <v>885729.71842237352</v>
      </c>
      <c r="E367" s="58">
        <f t="shared" ca="1" si="139"/>
        <v>1882.0815201195583</v>
      </c>
      <c r="F367" s="57">
        <f ca="1">IF(AND(OR(B367&gt;59.5,B367=59.5),B366&lt;59.5),(F366-G366+L366-M366+N366-O366)*(1+'Retirement Planning'!$J$23/12),(F366-G366)*(1+'Retirement Planning'!$J$23/12))</f>
        <v>1190796.7486096129</v>
      </c>
      <c r="G367" s="58">
        <f ca="1">IF(AND($B$10&lt;55,B367&lt;59.5),'Retirement Planning'!$J$25,IF(OR(B367&gt;59.5,B367=59.5),MAX(0,MIN(F367,IF(D367&lt;2500,((Y367+AJ367+AA367))-X367,((Y367+AJ367+AA367)*'Retirement Planning'!$J$44)-X367))),0))</f>
        <v>13644.938316733338</v>
      </c>
      <c r="H367" s="255">
        <f ca="1">IF(MONTH(C367)=1,IF(B367&gt;69.5,F367/(INDEX('Retirement Planning'!D$1:D$264,(160+INT(B367))))/12,0),IF(F367=0,0,H366))</f>
        <v>12776.279499512033</v>
      </c>
      <c r="I367" s="262">
        <f t="shared" ca="1" si="140"/>
        <v>0</v>
      </c>
      <c r="J367" s="254">
        <f ca="1">IF(AND(B366&lt;59.5,OR(B367=59.5,B367&gt;59.5)),0,(J366-K366)*(1+'Retirement Planning'!$J$23/12))</f>
        <v>0</v>
      </c>
      <c r="K367" s="58">
        <f t="shared" ca="1" si="141"/>
        <v>0</v>
      </c>
      <c r="L367" s="57">
        <f>IF(AND(OR(B367&gt;59.5,B367=59.5),B366&lt;59.5),0,(L366-M366)*(1+'Retirement Planning'!$J$23/12))</f>
        <v>0</v>
      </c>
      <c r="M367" s="59">
        <f>IF(AND($B$10&lt;55,B367&lt;59.5),0,IF(B367&lt;59.5,MAX(0,MIN((($Y367+$AJ367+AA367)*'Retirement Planning'!$J$44)-$G367-$X367,L367)),0))</f>
        <v>0</v>
      </c>
      <c r="N367" s="57">
        <f ca="1">(N366-O366)*(1+'Retirement Planning'!$J$23/12)</f>
        <v>0</v>
      </c>
      <c r="O367" s="59">
        <f ca="1">IF(B367&gt;59.5,MAX(0,MIN((AA367+$Y367+$AJ367)*(IF(D367&lt;(MIN(E355:E366)+1),1,'Retirement Planning'!$J$44))-M367-$G367-$X367-(IF(D367&lt;(MIN(E355:E366)+1),D367,0)),N367)),0)</f>
        <v>0</v>
      </c>
      <c r="P367" s="57">
        <f t="shared" si="153"/>
        <v>0</v>
      </c>
      <c r="Q367" s="58">
        <f t="shared" si="154"/>
        <v>0</v>
      </c>
      <c r="R367" s="57">
        <f ca="1">(R366-S366-T366)*(1+'Retirement Planning'!$J$23/12)</f>
        <v>1209157.4322727295</v>
      </c>
      <c r="S367" s="58">
        <f t="shared" ca="1" si="155"/>
        <v>808.33333333333337</v>
      </c>
      <c r="T367" s="273">
        <f t="shared" ca="1" si="142"/>
        <v>-3.637978807091713E-12</v>
      </c>
      <c r="U367" s="57">
        <f ca="1">(U366-V366)*(1+'Retirement Planning'!$J$23/12)</f>
        <v>723610.60644953582</v>
      </c>
      <c r="V367" s="24">
        <f ca="1">IF(AND($B$10&lt;55,B367&lt;59.5),MIN(U367,MAX(0,(Y367+AA367+AJ367-G367)*'Retirement Planning'!$J$45)),IF(B367&lt;59.5,(MIN(U367,MAX(0,((Y367+AA367+AJ367)-G367-M367)*'Retirement Planning'!$J$45))),MIN(U367,MAX(0,(Y367+AA367+AJ367-G367-M367-K367-X367)*'Retirement Planning'!$J$45))))</f>
        <v>1603.2546282499923</v>
      </c>
      <c r="W367" s="7">
        <f t="shared" ca="1" si="143"/>
        <v>4009294.505754252</v>
      </c>
      <c r="X367" s="7">
        <f>(IF(B367&gt;'Retirement Planning'!$J$34,IF('Retirement Planning'!$J$34=70,'Retirement Planning'!$J$37/12,IF('Retirement Planning'!$J$34=67,'Retirement Planning'!$J$36/12,'Retirement Planning'!$J$35/12)),0))*'Retirement Planning'!$J$38</f>
        <v>1213.6000000000001</v>
      </c>
      <c r="Y367" s="7">
        <f ca="1">'Retirement Planning'!$F$35*((1+'Retirement Planning'!$J$24)^(YEAR('Projected Retirement Drawdown'!C367)-YEAR(TODAY())))</f>
        <v>14078.791031413783</v>
      </c>
      <c r="Z367" s="7">
        <f ca="1">G367+M367+O367+0.85*X367+V367*'Retirement Planning'!$J$46+T367</f>
        <v>15558.28836227083</v>
      </c>
      <c r="AA367" s="7">
        <f ca="1">IF(MONTH(C367)=1,(((MIN(MAX(0,((SUM(Z355:Z366)-'Retirement Planning'!$I$53-'Retirement Planning'!$I$54)-'Retirement Planning'!$J$51)*'Retirement Planning'!$I$52))))+(MIN(MAX(0,((SUM(Z355:Z366)-'Retirement Planning'!$I$53-'Retirement Planning'!$I$54)-'Retirement Planning'!$J$50)*'Retirement Planning'!$I$51),('Retirement Planning'!$J$51-'Retirement Planning'!$J$50)*'Retirement Planning'!$I$51))+(MIN(MAX(0,((SUM(Z355:Z366)-'Retirement Planning'!$I$53-'Retirement Planning'!$I$54)-'Retirement Planning'!$J$49)*'Retirement Planning'!$I$50),('Retirement Planning'!$J$50-'Retirement Planning'!$J$49)*'Retirement Planning'!$I$50)+MIN(MAX(0,((SUM(Z355:Z366)-'Retirement Planning'!$I$53-'Retirement Planning'!$I$54)-'Retirement Planning'!$J$48)*'Retirement Planning'!$I$49),('Retirement Planning'!$J$49-'Retirement Planning'!$J$48)*'Retirement Planning'!$I$49)+MIN(((SUM(Z355:Z366)-'Retirement Planning'!$I$53-'Retirement Planning'!$I$54))*'Retirement Planning'!$I$48,('Retirement Planning'!$J$48)*'Retirement Planning'!$I$48))+(IF((SUM(Z355:Z366)-'Retirement Planning'!$I$54-'Retirement Planning'!$I$61)&gt;'Retirement Planning'!$J$59,(SUM(Z355:Z366)-'Retirement Planning'!$I$54-'Retirement Planning'!$I$61-'Retirement Planning'!$J$59)*'Retirement Planning'!$I$60+'Retirement Planning'!$K$59,IF((SUM(Z355:Z366)-'Retirement Planning'!$I$54-'Retirement Planning'!$I$61)&gt;'Retirement Planning'!$J$58,(SUM(Z355:Z366)-'Retirement Planning'!$I$54-'Retirement Planning'!$I$61-'Retirement Planning'!$J$58)*'Retirement Planning'!$I$59+'Retirement Planning'!$K$58,IF((SUM(Z355:Z366)-'Retirement Planning'!$I$54-'Retirement Planning'!$I$61)&gt;'Retirement Planning'!$J$57,(SUM(Z355:Z366)-'Retirement Planning'!$I$54-'Retirement Planning'!$I$61-'Retirement Planning'!$J$57)*'Retirement Planning'!$I$58+'Retirement Planning'!$K$57,IF((SUM(Z355:Z366)-'Retirement Planning'!$I$54-'Retirement Planning'!$I$61)&gt;'Retirement Planning'!$J$56,(SUM(Z355:Z366)-'Retirement Planning'!$I$54-'Retirement Planning'!$I$61-'Retirement Planning'!$J$56)*'Retirement Planning'!$I$57+'Retirement Planning'!$K$56,(SUM(Z355:Z366)-'Retirement Planning'!$I$54-'Retirement Planning'!$I$61)*'Retirement Planning'!$I$56))))))/12,AA366)</f>
        <v>3948.4167670224365</v>
      </c>
      <c r="AB367" s="104">
        <f t="shared" ca="1" si="164"/>
        <v>0.26324768937567522</v>
      </c>
      <c r="AC367" s="7">
        <f>IF(B367&lt;65,'Retirement Planning'!$J$28,0)</f>
        <v>0</v>
      </c>
      <c r="AD367" s="7">
        <f>IF(B367&lt;65,'Retirement Planning'!$J$29/12,0)</f>
        <v>0</v>
      </c>
      <c r="AE367" s="22">
        <f>'Retirement Planning'!$J$31/12</f>
        <v>58.333333333333336</v>
      </c>
      <c r="AF367" s="22">
        <f>'Retirement Planning'!$J$32/12</f>
        <v>66.666666666666671</v>
      </c>
      <c r="AG367" s="7">
        <f>IF($B367&gt;64.9,'Retirement Planning'!$J$39/12,0)</f>
        <v>183.33333333333334</v>
      </c>
      <c r="AH367" s="7">
        <f>IF($B367&gt;64.9,'Retirement Planning'!$J$40/12,0)</f>
        <v>258.33333333333331</v>
      </c>
      <c r="AI367" s="7">
        <f>IF($B367&gt;64.9,'Retirement Planning'!$J$41/12,0)</f>
        <v>558.33333333333337</v>
      </c>
      <c r="AJ367" s="7">
        <f t="shared" ca="1" si="144"/>
        <v>316.66666666666663</v>
      </c>
      <c r="AK367" s="3" t="str">
        <f t="shared" ca="1" si="162"/>
        <v>N/A</v>
      </c>
      <c r="AL367" s="6" t="str">
        <f t="shared" ca="1" si="163"/>
        <v>N/A</v>
      </c>
      <c r="AM367" s="7">
        <f t="shared" ca="1" si="147"/>
        <v>-6.8212102632969618E-13</v>
      </c>
      <c r="AN367" s="7">
        <f t="shared" ca="1" si="148"/>
        <v>19152.207798436219</v>
      </c>
      <c r="AO367" s="7">
        <f t="shared" si="149"/>
        <v>1125</v>
      </c>
    </row>
    <row r="368" spans="1:41" x14ac:dyDescent="0.2">
      <c r="A368">
        <f t="shared" si="150"/>
        <v>50</v>
      </c>
      <c r="B368" s="5">
        <f t="shared" si="151"/>
        <v>86.1</v>
      </c>
      <c r="C368" s="56">
        <f t="shared" si="152"/>
        <v>57315</v>
      </c>
      <c r="D368" s="57">
        <f ca="1">IF(AND(B367&lt;59.5,OR(B368&gt;59.5,B368=59.5)),(D367-E367+J367-K367)*(1+'Retirement Planning'!$J$23/12),(D367-E367)*(1+'Retirement Planning'!$J$23/12))</f>
        <v>890108.22433031164</v>
      </c>
      <c r="E368" s="58">
        <f t="shared" ca="1" si="139"/>
        <v>1882.0815201195583</v>
      </c>
      <c r="F368" s="57">
        <f ca="1">IF(AND(OR(B368&gt;59.5,B368=59.5),B367&lt;59.5),(F367-G367+L367-M367+N367-O367)*(1+'Retirement Planning'!$J$23/12),(F367-G367)*(1+'Retirement Planning'!$J$23/12))</f>
        <v>1185489.9689491207</v>
      </c>
      <c r="G368" s="58">
        <f ca="1">IF(AND($B$10&lt;55,B368&lt;59.5),'Retirement Planning'!$J$25,IF(OR(B368&gt;59.5,B368=59.5),MAX(0,MIN(F368,IF(D368&lt;2500,((Y368+AJ368+AA368))-X368,((Y368+AJ368+AA368)*'Retirement Planning'!$J$44)-X368))),0))</f>
        <v>13644.938316733338</v>
      </c>
      <c r="H368" s="255">
        <f ca="1">IF(MONTH(C368)=1,IF(B368&gt;69.5,F368/(INDEX('Retirement Planning'!D$1:D$264,(160+INT(B368))))/12,0),IF(F368=0,0,H367))</f>
        <v>12776.279499512033</v>
      </c>
      <c r="I368" s="262">
        <f t="shared" ca="1" si="140"/>
        <v>0</v>
      </c>
      <c r="J368" s="254">
        <f ca="1">IF(AND(B367&lt;59.5,OR(B368=59.5,B368&gt;59.5)),0,(J367-K367)*(1+'Retirement Planning'!$J$23/12))</f>
        <v>0</v>
      </c>
      <c r="K368" s="58">
        <f t="shared" ca="1" si="141"/>
        <v>0</v>
      </c>
      <c r="L368" s="57">
        <f>IF(AND(OR(B368&gt;59.5,B368=59.5),B367&lt;59.5),0,(L367-M367)*(1+'Retirement Planning'!$J$23/12))</f>
        <v>0</v>
      </c>
      <c r="M368" s="59">
        <f>IF(AND($B$10&lt;55,B368&lt;59.5),0,IF(B368&lt;59.5,MAX(0,MIN((($Y368+$AJ368+AA368)*'Retirement Planning'!$J$44)-$G368-$X368,L368)),0))</f>
        <v>0</v>
      </c>
      <c r="N368" s="57">
        <f ca="1">(N367-O367)*(1+'Retirement Planning'!$J$23/12)</f>
        <v>0</v>
      </c>
      <c r="O368" s="59">
        <f ca="1">IF(B368&gt;59.5,MAX(0,MIN((AA368+$Y368+$AJ368)*(IF(D368&lt;(MIN(E356:E367)+1),1,'Retirement Planning'!$J$44))-M368-$G368-$X368-(IF(D368&lt;(MIN(E356:E367)+1),D368,0)),N368)),0)</f>
        <v>0</v>
      </c>
      <c r="P368" s="57">
        <f t="shared" si="153"/>
        <v>0</v>
      </c>
      <c r="Q368" s="58">
        <f t="shared" si="154"/>
        <v>0</v>
      </c>
      <c r="R368" s="57">
        <f ca="1">(R367-S367-T367)*(1+'Retirement Planning'!$J$23/12)</f>
        <v>1216908.2383902168</v>
      </c>
      <c r="S368" s="58">
        <f t="shared" ca="1" si="155"/>
        <v>808.33333333333337</v>
      </c>
      <c r="T368" s="273">
        <f t="shared" ca="1" si="142"/>
        <v>-3.637978807091713E-12</v>
      </c>
      <c r="U368" s="57">
        <f ca="1">(U367-V367)*(1+'Retirement Planning'!$J$23/12)</f>
        <v>727121.57056335325</v>
      </c>
      <c r="V368" s="24">
        <f ca="1">IF(AND($B$10&lt;55,B368&lt;59.5),MIN(U368,MAX(0,(Y368+AA368+AJ368-G368)*'Retirement Planning'!$J$45)),IF(B368&lt;59.5,(MIN(U368,MAX(0,((Y368+AA368+AJ368)-G368-M368)*'Retirement Planning'!$J$45))),MIN(U368,MAX(0,(Y368+AA368+AJ368-G368-M368-K368-X368)*'Retirement Planning'!$J$45))))</f>
        <v>1603.2546282499923</v>
      </c>
      <c r="W368" s="7">
        <f t="shared" ca="1" si="143"/>
        <v>4019628.0022330023</v>
      </c>
      <c r="X368" s="7">
        <f>(IF(B368&gt;'Retirement Planning'!$J$34,IF('Retirement Planning'!$J$34=70,'Retirement Planning'!$J$37/12,IF('Retirement Planning'!$J$34=67,'Retirement Planning'!$J$36/12,'Retirement Planning'!$J$35/12)),0))*'Retirement Planning'!$J$38</f>
        <v>1213.6000000000001</v>
      </c>
      <c r="Y368" s="7">
        <f ca="1">'Retirement Planning'!$F$35*((1+'Retirement Planning'!$J$24)^(YEAR('Projected Retirement Drawdown'!C368)-YEAR(TODAY())))</f>
        <v>14078.791031413783</v>
      </c>
      <c r="Z368" s="7">
        <f ca="1">G368+M368+O368+0.85*X368+V368*'Retirement Planning'!$J$46+T368</f>
        <v>15558.28836227083</v>
      </c>
      <c r="AA368" s="7">
        <f ca="1">IF(MONTH(C368)=1,(((MIN(MAX(0,((SUM(Z356:Z367)-'Retirement Planning'!$I$53-'Retirement Planning'!$I$54)-'Retirement Planning'!$J$51)*'Retirement Planning'!$I$52))))+(MIN(MAX(0,((SUM(Z356:Z367)-'Retirement Planning'!$I$53-'Retirement Planning'!$I$54)-'Retirement Planning'!$J$50)*'Retirement Planning'!$I$51),('Retirement Planning'!$J$51-'Retirement Planning'!$J$50)*'Retirement Planning'!$I$51))+(MIN(MAX(0,((SUM(Z356:Z367)-'Retirement Planning'!$I$53-'Retirement Planning'!$I$54)-'Retirement Planning'!$J$49)*'Retirement Planning'!$I$50),('Retirement Planning'!$J$50-'Retirement Planning'!$J$49)*'Retirement Planning'!$I$50)+MIN(MAX(0,((SUM(Z356:Z367)-'Retirement Planning'!$I$53-'Retirement Planning'!$I$54)-'Retirement Planning'!$J$48)*'Retirement Planning'!$I$49),('Retirement Planning'!$J$49-'Retirement Planning'!$J$48)*'Retirement Planning'!$I$49)+MIN(((SUM(Z356:Z367)-'Retirement Planning'!$I$53-'Retirement Planning'!$I$54))*'Retirement Planning'!$I$48,('Retirement Planning'!$J$48)*'Retirement Planning'!$I$48))+(IF((SUM(Z356:Z367)-'Retirement Planning'!$I$54-'Retirement Planning'!$I$61)&gt;'Retirement Planning'!$J$59,(SUM(Z356:Z367)-'Retirement Planning'!$I$54-'Retirement Planning'!$I$61-'Retirement Planning'!$J$59)*'Retirement Planning'!$I$60+'Retirement Planning'!$K$59,IF((SUM(Z356:Z367)-'Retirement Planning'!$I$54-'Retirement Planning'!$I$61)&gt;'Retirement Planning'!$J$58,(SUM(Z356:Z367)-'Retirement Planning'!$I$54-'Retirement Planning'!$I$61-'Retirement Planning'!$J$58)*'Retirement Planning'!$I$59+'Retirement Planning'!$K$58,IF((SUM(Z356:Z367)-'Retirement Planning'!$I$54-'Retirement Planning'!$I$61)&gt;'Retirement Planning'!$J$57,(SUM(Z356:Z367)-'Retirement Planning'!$I$54-'Retirement Planning'!$I$61-'Retirement Planning'!$J$57)*'Retirement Planning'!$I$58+'Retirement Planning'!$K$57,IF((SUM(Z356:Z367)-'Retirement Planning'!$I$54-'Retirement Planning'!$I$61)&gt;'Retirement Planning'!$J$56,(SUM(Z356:Z367)-'Retirement Planning'!$I$54-'Retirement Planning'!$I$61-'Retirement Planning'!$J$56)*'Retirement Planning'!$I$57+'Retirement Planning'!$K$56,(SUM(Z356:Z367)-'Retirement Planning'!$I$54-'Retirement Planning'!$I$61)*'Retirement Planning'!$I$56))))))/12,AA367)</f>
        <v>3948.4167670224365</v>
      </c>
      <c r="AB368" s="104">
        <f t="shared" ca="1" si="164"/>
        <v>0.26324768937567522</v>
      </c>
      <c r="AC368" s="7">
        <f>IF(B368&lt;65,'Retirement Planning'!$J$28,0)</f>
        <v>0</v>
      </c>
      <c r="AD368" s="7">
        <f>IF(B368&lt;65,'Retirement Planning'!$J$29/12,0)</f>
        <v>0</v>
      </c>
      <c r="AE368" s="22">
        <f>'Retirement Planning'!$J$31/12</f>
        <v>58.333333333333336</v>
      </c>
      <c r="AF368" s="22">
        <f>'Retirement Planning'!$J$32/12</f>
        <v>66.666666666666671</v>
      </c>
      <c r="AG368" s="7">
        <f>IF($B368&gt;64.9,'Retirement Planning'!$J$39/12,0)</f>
        <v>183.33333333333334</v>
      </c>
      <c r="AH368" s="7">
        <f>IF($B368&gt;64.9,'Retirement Planning'!$J$40/12,0)</f>
        <v>258.33333333333331</v>
      </c>
      <c r="AI368" s="7">
        <f>IF($B368&gt;64.9,'Retirement Planning'!$J$41/12,0)</f>
        <v>558.33333333333337</v>
      </c>
      <c r="AJ368" s="7">
        <f t="shared" ca="1" si="144"/>
        <v>316.66666666666663</v>
      </c>
      <c r="AK368" s="3" t="str">
        <f t="shared" ca="1" si="162"/>
        <v>N/A</v>
      </c>
      <c r="AL368" s="6" t="str">
        <f t="shared" ca="1" si="163"/>
        <v>N/A</v>
      </c>
      <c r="AM368" s="7">
        <f t="shared" ca="1" si="147"/>
        <v>-6.8212102632969618E-13</v>
      </c>
      <c r="AN368" s="7">
        <f t="shared" ca="1" si="148"/>
        <v>19152.207798436219</v>
      </c>
      <c r="AO368" s="7">
        <f t="shared" si="149"/>
        <v>1125</v>
      </c>
    </row>
    <row r="369" spans="1:41" x14ac:dyDescent="0.2">
      <c r="A369">
        <f t="shared" si="150"/>
        <v>50</v>
      </c>
      <c r="B369" s="5">
        <f t="shared" si="151"/>
        <v>86.2</v>
      </c>
      <c r="C369" s="56">
        <f t="shared" si="152"/>
        <v>57346</v>
      </c>
      <c r="D369" s="57">
        <f ca="1">IF(AND(B368&lt;59.5,OR(B369&gt;59.5,B369=59.5)),(D368-E368+J368-K368)*(1+'Retirement Planning'!$J$23/12),(D368-E368)*(1+'Retirement Planning'!$J$23/12))</f>
        <v>894517.7446550976</v>
      </c>
      <c r="E369" s="58">
        <f t="shared" ca="1" si="139"/>
        <v>1951.31536251117</v>
      </c>
      <c r="F369" s="57">
        <f ca="1">IF(AND(OR(B369&gt;59.5,B369=59.5),B368&lt;59.5),(F368-G368+L368-M368+N368-O368)*(1+'Retirement Planning'!$J$23/12),(F368-G368)*(1+'Retirement Planning'!$J$23/12))</f>
        <v>1180145.5995993668</v>
      </c>
      <c r="G369" s="58">
        <f ca="1">IF(AND($B$10&lt;55,B369&lt;59.5),'Retirement Planning'!$J$25,IF(OR(B369&gt;59.5,B369=59.5),MAX(0,MIN(F369,IF(D369&lt;2500,((Y369+AJ369+AA369))-X369,((Y369+AJ369+AA369)*'Retirement Planning'!$J$44)-X369))),0))</f>
        <v>14191.521282982918</v>
      </c>
      <c r="H369" s="255">
        <f ca="1">IF(MONTH(C369)=1,IF(B369&gt;69.5,F369/(INDEX('Retirement Planning'!D$1:D$264,(160+INT(B369))))/12,0),IF(F369=0,0,H368))</f>
        <v>12940.192978063233</v>
      </c>
      <c r="I369" s="262">
        <f t="shared" ca="1" si="140"/>
        <v>0</v>
      </c>
      <c r="J369" s="254">
        <f ca="1">IF(AND(B368&lt;59.5,OR(B369=59.5,B369&gt;59.5)),0,(J368-K368)*(1+'Retirement Planning'!$J$23/12))</f>
        <v>0</v>
      </c>
      <c r="K369" s="58">
        <f t="shared" ca="1" si="141"/>
        <v>0</v>
      </c>
      <c r="L369" s="57">
        <f>IF(AND(OR(B369&gt;59.5,B369=59.5),B368&lt;59.5),0,(L368-M368)*(1+'Retirement Planning'!$J$23/12))</f>
        <v>0</v>
      </c>
      <c r="M369" s="59">
        <f>IF(AND($B$10&lt;55,B369&lt;59.5),0,IF(B369&lt;59.5,MAX(0,MIN((($Y369+$AJ369+AA369)*'Retirement Planning'!$J$44)-$G369-$X369,L369)),0))</f>
        <v>0</v>
      </c>
      <c r="N369" s="57">
        <f ca="1">(N368-O368)*(1+'Retirement Planning'!$J$23/12)</f>
        <v>0</v>
      </c>
      <c r="O369" s="59">
        <f ca="1">IF(B369&gt;59.5,MAX(0,MIN((AA369+$Y369+$AJ369)*(IF(D369&lt;(MIN(E357:E368)+1),1,'Retirement Planning'!$J$44))-M369-$G369-$X369-(IF(D369&lt;(MIN(E357:E368)+1),D369,0)),N369)),0)</f>
        <v>0</v>
      </c>
      <c r="P369" s="57">
        <f t="shared" si="153"/>
        <v>0</v>
      </c>
      <c r="Q369" s="58">
        <f t="shared" si="154"/>
        <v>0</v>
      </c>
      <c r="R369" s="57">
        <f ca="1">(R368-S368-T368)*(1+'Retirement Planning'!$J$23/12)</f>
        <v>1224713.9460510365</v>
      </c>
      <c r="S369" s="58">
        <f t="shared" ca="1" si="155"/>
        <v>808.33333333333337</v>
      </c>
      <c r="T369" s="273">
        <f t="shared" ca="1" si="142"/>
        <v>-2.0463630789890885E-12</v>
      </c>
      <c r="U369" s="57">
        <f ca="1">(U368-V368)*(1+'Retirement Planning'!$J$23/12)</f>
        <v>730657.40400631016</v>
      </c>
      <c r="V369" s="24">
        <f ca="1">IF(AND($B$10&lt;55,B369&lt;59.5),MIN(U369,MAX(0,(Y369+AA369+AJ369-G369)*'Retirement Planning'!$J$45)),IF(B369&lt;59.5,(MIN(U369,MAX(0,((Y369+AA369+AJ369)-G369-M369)*'Retirement Planning'!$J$45))),MIN(U369,MAX(0,(Y369+AA369+AJ369-G369-M369-K369-X369)*'Retirement Planning'!$J$45))))</f>
        <v>1662.2316051021071</v>
      </c>
      <c r="W369" s="7">
        <f t="shared" ca="1" si="143"/>
        <v>4030034.6943118111</v>
      </c>
      <c r="X369" s="7">
        <f>(IF(B369&gt;'Retirement Planning'!$J$34,IF('Retirement Planning'!$J$34=70,'Retirement Planning'!$J$37/12,IF('Retirement Planning'!$J$34=67,'Retirement Planning'!$J$36/12,'Retirement Planning'!$J$35/12)),0))*'Retirement Planning'!$J$38</f>
        <v>1213.6000000000001</v>
      </c>
      <c r="Y369" s="7">
        <f ca="1">'Retirement Planning'!$F$35*((1+'Retirement Planning'!$J$24)^(YEAR('Projected Retirement Drawdown'!C369)-YEAR(TODAY())))</f>
        <v>14571.548717513266</v>
      </c>
      <c r="Z369" s="7">
        <f ca="1">G369+M369+O369+0.85*X369+V369*'Retirement Planning'!$J$46+T369</f>
        <v>16137.308665789074</v>
      </c>
      <c r="AA369" s="7">
        <f ca="1">IF(MONTH(C369)=1,(((MIN(MAX(0,((SUM(Z357:Z368)-'Retirement Planning'!$I$53-'Retirement Planning'!$I$54)-'Retirement Planning'!$J$51)*'Retirement Planning'!$I$52))))+(MIN(MAX(0,((SUM(Z357:Z368)-'Retirement Planning'!$I$53-'Retirement Planning'!$I$54)-'Retirement Planning'!$J$50)*'Retirement Planning'!$I$51),('Retirement Planning'!$J$51-'Retirement Planning'!$J$50)*'Retirement Planning'!$I$51))+(MIN(MAX(0,((SUM(Z357:Z368)-'Retirement Planning'!$I$53-'Retirement Planning'!$I$54)-'Retirement Planning'!$J$49)*'Retirement Planning'!$I$50),('Retirement Planning'!$J$50-'Retirement Planning'!$J$49)*'Retirement Planning'!$I$50)+MIN(MAX(0,((SUM(Z357:Z368)-'Retirement Planning'!$I$53-'Retirement Planning'!$I$54)-'Retirement Planning'!$J$48)*'Retirement Planning'!$I$49),('Retirement Planning'!$J$49-'Retirement Planning'!$J$48)*'Retirement Planning'!$I$49)+MIN(((SUM(Z357:Z368)-'Retirement Planning'!$I$53-'Retirement Planning'!$I$54))*'Retirement Planning'!$I$48,('Retirement Planning'!$J$48)*'Retirement Planning'!$I$48))+(IF((SUM(Z357:Z368)-'Retirement Planning'!$I$54-'Retirement Planning'!$I$61)&gt;'Retirement Planning'!$J$59,(SUM(Z357:Z368)-'Retirement Planning'!$I$54-'Retirement Planning'!$I$61-'Retirement Planning'!$J$59)*'Retirement Planning'!$I$60+'Retirement Planning'!$K$59,IF((SUM(Z357:Z368)-'Retirement Planning'!$I$54-'Retirement Planning'!$I$61)&gt;'Retirement Planning'!$J$58,(SUM(Z357:Z368)-'Retirement Planning'!$I$54-'Retirement Planning'!$I$61-'Retirement Planning'!$J$58)*'Retirement Planning'!$I$59+'Retirement Planning'!$K$58,IF((SUM(Z357:Z368)-'Retirement Planning'!$I$54-'Retirement Planning'!$I$61)&gt;'Retirement Planning'!$J$57,(SUM(Z357:Z368)-'Retirement Planning'!$I$54-'Retirement Planning'!$I$61-'Retirement Planning'!$J$57)*'Retirement Planning'!$I$58+'Retirement Planning'!$K$57,IF((SUM(Z357:Z368)-'Retirement Planning'!$I$54-'Retirement Planning'!$I$61)&gt;'Retirement Planning'!$J$56,(SUM(Z357:Z368)-'Retirement Planning'!$I$54-'Retirement Planning'!$I$61-'Retirement Planning'!$J$56)*'Retirement Planning'!$I$57+'Retirement Planning'!$K$56,(SUM(Z357:Z368)-'Retirement Planning'!$I$54-'Retirement Planning'!$I$61)*'Retirement Planning'!$I$56))))))/12,AA368)</f>
        <v>4130.4528664162617</v>
      </c>
      <c r="AB369" s="104">
        <f t="shared" ref="AB369" ca="1" si="165">SUM(AA369:AA380)/SUM(Z357:Z368)</f>
        <v>0.2654824727656222</v>
      </c>
      <c r="AC369" s="7">
        <f>IF(B369&lt;65,'Retirement Planning'!$J$28,0)</f>
        <v>0</v>
      </c>
      <c r="AD369" s="7">
        <f>IF(B369&lt;65,'Retirement Planning'!$J$29/12,0)</f>
        <v>0</v>
      </c>
      <c r="AE369" s="22">
        <f>'Retirement Planning'!$J$31/12</f>
        <v>58.333333333333336</v>
      </c>
      <c r="AF369" s="22">
        <f>'Retirement Planning'!$J$32/12</f>
        <v>66.666666666666671</v>
      </c>
      <c r="AG369" s="7">
        <f>IF($B369&gt;64.9,'Retirement Planning'!$J$39/12,0)</f>
        <v>183.33333333333334</v>
      </c>
      <c r="AH369" s="7">
        <f>IF($B369&gt;64.9,'Retirement Planning'!$J$40/12,0)</f>
        <v>258.33333333333331</v>
      </c>
      <c r="AI369" s="7">
        <f>IF($B369&gt;64.9,'Retirement Planning'!$J$41/12,0)</f>
        <v>558.33333333333337</v>
      </c>
      <c r="AJ369" s="7">
        <f t="shared" ca="1" si="144"/>
        <v>316.66666666666663</v>
      </c>
      <c r="AK369" s="3" t="str">
        <f t="shared" ca="1" si="162"/>
        <v>N/A</v>
      </c>
      <c r="AL369" s="6" t="str">
        <f t="shared" ca="1" si="163"/>
        <v>N/A</v>
      </c>
      <c r="AM369" s="7">
        <f t="shared" ca="1" si="147"/>
        <v>-6.8212102632969618E-13</v>
      </c>
      <c r="AN369" s="7">
        <f t="shared" ca="1" si="148"/>
        <v>19827.001583929527</v>
      </c>
      <c r="AO369" s="7">
        <f t="shared" si="149"/>
        <v>1125</v>
      </c>
    </row>
    <row r="370" spans="1:41" x14ac:dyDescent="0.2">
      <c r="A370">
        <f t="shared" si="150"/>
        <v>50</v>
      </c>
      <c r="B370" s="5">
        <f t="shared" si="151"/>
        <v>86.3</v>
      </c>
      <c r="C370" s="56">
        <f t="shared" si="152"/>
        <v>57377</v>
      </c>
      <c r="D370" s="57">
        <f ca="1">IF(AND(B369&lt;59.5,OR(B370&gt;59.5,B370=59.5)),(D369-E369+J369-K369)*(1+'Retirement Planning'!$J$23/12),(D369-E369)*(1+'Retirement Planning'!$J$23/12))</f>
        <v>898888.77483340888</v>
      </c>
      <c r="E370" s="58">
        <f t="shared" ca="1" si="139"/>
        <v>1951.31536251117</v>
      </c>
      <c r="F370" s="57">
        <f ca="1">IF(AND(OR(B370&gt;59.5,B370=59.5),B369&lt;59.5),(F369-G369+L369-M369+N369-O369)*(1+'Retirement Planning'!$J$23/12),(F369-G369)*(1+'Retirement Planning'!$J$23/12))</f>
        <v>1174212.9197044582</v>
      </c>
      <c r="G370" s="58">
        <f ca="1">IF(AND($B$10&lt;55,B370&lt;59.5),'Retirement Planning'!$J$25,IF(OR(B370&gt;59.5,B370=59.5),MAX(0,MIN(F370,IF(D370&lt;2500,((Y370+AJ370+AA370))-X370,((Y370+AJ370+AA370)*'Retirement Planning'!$J$44)-X370))),0))</f>
        <v>14191.521282982918</v>
      </c>
      <c r="H370" s="255">
        <f ca="1">IF(MONTH(C370)=1,IF(B370&gt;69.5,F370/(INDEX('Retirement Planning'!D$1:D$264,(160+INT(B370))))/12,0),IF(F370=0,0,H369))</f>
        <v>12940.192978063233</v>
      </c>
      <c r="I370" s="262">
        <f t="shared" ca="1" si="140"/>
        <v>0</v>
      </c>
      <c r="J370" s="254">
        <f ca="1">IF(AND(B369&lt;59.5,OR(B370=59.5,B370&gt;59.5)),0,(J369-K369)*(1+'Retirement Planning'!$J$23/12))</f>
        <v>0</v>
      </c>
      <c r="K370" s="58">
        <f t="shared" ca="1" si="141"/>
        <v>0</v>
      </c>
      <c r="L370" s="57">
        <f>IF(AND(OR(B370&gt;59.5,B370=59.5),B369&lt;59.5),0,(L369-M369)*(1+'Retirement Planning'!$J$23/12))</f>
        <v>0</v>
      </c>
      <c r="M370" s="59">
        <f>IF(AND($B$10&lt;55,B370&lt;59.5),0,IF(B370&lt;59.5,MAX(0,MIN((($Y370+$AJ370+AA370)*'Retirement Planning'!$J$44)-$G370-$X370,L370)),0))</f>
        <v>0</v>
      </c>
      <c r="N370" s="57">
        <f ca="1">(N369-O369)*(1+'Retirement Planning'!$J$23/12)</f>
        <v>0</v>
      </c>
      <c r="O370" s="59">
        <f ca="1">IF(B370&gt;59.5,MAX(0,MIN((AA370+$Y370+$AJ370)*(IF(D370&lt;(MIN(E358:E369)+1),1,'Retirement Planning'!$J$44))-M370-$G370-$X370-(IF(D370&lt;(MIN(E358:E369)+1),D370,0)),N370)),0)</f>
        <v>0</v>
      </c>
      <c r="P370" s="57">
        <f t="shared" si="153"/>
        <v>0</v>
      </c>
      <c r="Q370" s="58">
        <f t="shared" si="154"/>
        <v>0</v>
      </c>
      <c r="R370" s="57">
        <f ca="1">(R369-S369-T369)*(1+'Retirement Planning'!$J$23/12)</f>
        <v>1232574.9441411202</v>
      </c>
      <c r="S370" s="58">
        <f t="shared" ca="1" si="155"/>
        <v>808.33333333333337</v>
      </c>
      <c r="T370" s="273">
        <f t="shared" ca="1" si="142"/>
        <v>-2.0463630789890885E-12</v>
      </c>
      <c r="U370" s="57">
        <f ca="1">(U369-V369)*(1+'Retirement Planning'!$J$23/12)</f>
        <v>734158.88820571662</v>
      </c>
      <c r="V370" s="24">
        <f ca="1">IF(AND($B$10&lt;55,B370&lt;59.5),MIN(U370,MAX(0,(Y370+AA370+AJ370-G370)*'Retirement Planning'!$J$45)),IF(B370&lt;59.5,(MIN(U370,MAX(0,((Y370+AA370+AJ370)-G370-M370)*'Retirement Planning'!$J$45))),MIN(U370,MAX(0,(Y370+AA370+AJ370-G370-M370-K370-X370)*'Retirement Planning'!$J$45))))</f>
        <v>1662.2316051021071</v>
      </c>
      <c r="W370" s="7">
        <f t="shared" ca="1" si="143"/>
        <v>4039835.5268847039</v>
      </c>
      <c r="X370" s="7">
        <f>(IF(B370&gt;'Retirement Planning'!$J$34,IF('Retirement Planning'!$J$34=70,'Retirement Planning'!$J$37/12,IF('Retirement Planning'!$J$34=67,'Retirement Planning'!$J$36/12,'Retirement Planning'!$J$35/12)),0))*'Retirement Planning'!$J$38</f>
        <v>1213.6000000000001</v>
      </c>
      <c r="Y370" s="7">
        <f ca="1">'Retirement Planning'!$F$35*((1+'Retirement Planning'!$J$24)^(YEAR('Projected Retirement Drawdown'!C370)-YEAR(TODAY())))</f>
        <v>14571.548717513266</v>
      </c>
      <c r="Z370" s="7">
        <f ca="1">G370+M370+O370+0.85*X370+V370*'Retirement Planning'!$J$46+T370</f>
        <v>16137.308665789074</v>
      </c>
      <c r="AA370" s="7">
        <f ca="1">IF(MONTH(C370)=1,(((MIN(MAX(0,((SUM(Z358:Z369)-'Retirement Planning'!$I$53-'Retirement Planning'!$I$54)-'Retirement Planning'!$J$51)*'Retirement Planning'!$I$52))))+(MIN(MAX(0,((SUM(Z358:Z369)-'Retirement Planning'!$I$53-'Retirement Planning'!$I$54)-'Retirement Planning'!$J$50)*'Retirement Planning'!$I$51),('Retirement Planning'!$J$51-'Retirement Planning'!$J$50)*'Retirement Planning'!$I$51))+(MIN(MAX(0,((SUM(Z358:Z369)-'Retirement Planning'!$I$53-'Retirement Planning'!$I$54)-'Retirement Planning'!$J$49)*'Retirement Planning'!$I$50),('Retirement Planning'!$J$50-'Retirement Planning'!$J$49)*'Retirement Planning'!$I$50)+MIN(MAX(0,((SUM(Z358:Z369)-'Retirement Planning'!$I$53-'Retirement Planning'!$I$54)-'Retirement Planning'!$J$48)*'Retirement Planning'!$I$49),('Retirement Planning'!$J$49-'Retirement Planning'!$J$48)*'Retirement Planning'!$I$49)+MIN(((SUM(Z358:Z369)-'Retirement Planning'!$I$53-'Retirement Planning'!$I$54))*'Retirement Planning'!$I$48,('Retirement Planning'!$J$48)*'Retirement Planning'!$I$48))+(IF((SUM(Z358:Z369)-'Retirement Planning'!$I$54-'Retirement Planning'!$I$61)&gt;'Retirement Planning'!$J$59,(SUM(Z358:Z369)-'Retirement Planning'!$I$54-'Retirement Planning'!$I$61-'Retirement Planning'!$J$59)*'Retirement Planning'!$I$60+'Retirement Planning'!$K$59,IF((SUM(Z358:Z369)-'Retirement Planning'!$I$54-'Retirement Planning'!$I$61)&gt;'Retirement Planning'!$J$58,(SUM(Z358:Z369)-'Retirement Planning'!$I$54-'Retirement Planning'!$I$61-'Retirement Planning'!$J$58)*'Retirement Planning'!$I$59+'Retirement Planning'!$K$58,IF((SUM(Z358:Z369)-'Retirement Planning'!$I$54-'Retirement Planning'!$I$61)&gt;'Retirement Planning'!$J$57,(SUM(Z358:Z369)-'Retirement Planning'!$I$54-'Retirement Planning'!$I$61-'Retirement Planning'!$J$57)*'Retirement Planning'!$I$58+'Retirement Planning'!$K$57,IF((SUM(Z358:Z369)-'Retirement Planning'!$I$54-'Retirement Planning'!$I$61)&gt;'Retirement Planning'!$J$56,(SUM(Z358:Z369)-'Retirement Planning'!$I$54-'Retirement Planning'!$I$61-'Retirement Planning'!$J$56)*'Retirement Planning'!$I$57+'Retirement Planning'!$K$56,(SUM(Z358:Z369)-'Retirement Planning'!$I$54-'Retirement Planning'!$I$61)*'Retirement Planning'!$I$56))))))/12,AA369)</f>
        <v>4130.4528664162617</v>
      </c>
      <c r="AB370" s="104">
        <f t="shared" ref="AB370:AB401" ca="1" si="166">AB369</f>
        <v>0.2654824727656222</v>
      </c>
      <c r="AC370" s="7">
        <f>IF(B370&lt;65,'Retirement Planning'!$J$28,0)</f>
        <v>0</v>
      </c>
      <c r="AD370" s="7">
        <f>IF(B370&lt;65,'Retirement Planning'!$J$29/12,0)</f>
        <v>0</v>
      </c>
      <c r="AE370" s="22">
        <f>'Retirement Planning'!$J$31/12</f>
        <v>58.333333333333336</v>
      </c>
      <c r="AF370" s="22">
        <f>'Retirement Planning'!$J$32/12</f>
        <v>66.666666666666671</v>
      </c>
      <c r="AG370" s="7">
        <f>IF($B370&gt;64.9,'Retirement Planning'!$J$39/12,0)</f>
        <v>183.33333333333334</v>
      </c>
      <c r="AH370" s="7">
        <f>IF($B370&gt;64.9,'Retirement Planning'!$J$40/12,0)</f>
        <v>258.33333333333331</v>
      </c>
      <c r="AI370" s="7">
        <f>IF($B370&gt;64.9,'Retirement Planning'!$J$41/12,0)</f>
        <v>558.33333333333337</v>
      </c>
      <c r="AJ370" s="7">
        <f t="shared" ca="1" si="144"/>
        <v>316.66666666666663</v>
      </c>
      <c r="AK370" s="3" t="str">
        <f t="shared" ca="1" si="162"/>
        <v>N/A</v>
      </c>
      <c r="AL370" s="6" t="str">
        <f t="shared" ca="1" si="163"/>
        <v>N/A</v>
      </c>
      <c r="AM370" s="7">
        <f t="shared" ca="1" si="147"/>
        <v>-6.8212102632969618E-13</v>
      </c>
      <c r="AN370" s="7">
        <f t="shared" ca="1" si="148"/>
        <v>19827.001583929527</v>
      </c>
      <c r="AO370" s="7">
        <f t="shared" si="149"/>
        <v>1125</v>
      </c>
    </row>
    <row r="371" spans="1:41" x14ac:dyDescent="0.2">
      <c r="A371">
        <f t="shared" si="150"/>
        <v>50</v>
      </c>
      <c r="B371" s="5">
        <f t="shared" si="151"/>
        <v>86.4</v>
      </c>
      <c r="C371" s="56">
        <f t="shared" si="152"/>
        <v>57405</v>
      </c>
      <c r="D371" s="57">
        <f ca="1">IF(AND(B370&lt;59.5,OR(B371&gt;59.5,B371=59.5)),(D370-E370+J370-K370)*(1+'Retirement Planning'!$J$23/12),(D370-E370)*(1+'Retirement Planning'!$J$23/12))</f>
        <v>903290.76647548319</v>
      </c>
      <c r="E371" s="58">
        <f t="shared" ca="1" si="139"/>
        <v>1951.31536251117</v>
      </c>
      <c r="F371" s="57">
        <f ca="1">IF(AND(OR(B371&gt;59.5,B371=59.5),B370&lt;59.5),(F370-G370+L370-M370+N370-O370)*(1+'Retirement Planning'!$J$23/12),(F370-G370)*(1+'Retirement Planning'!$J$23/12))</f>
        <v>1168238.216660294</v>
      </c>
      <c r="G371" s="58">
        <f ca="1">IF(AND($B$10&lt;55,B371&lt;59.5),'Retirement Planning'!$J$25,IF(OR(B371&gt;59.5,B371=59.5),MAX(0,MIN(F371,IF(D371&lt;2500,((Y371+AJ371+AA371))-X371,((Y371+AJ371+AA371)*'Retirement Planning'!$J$44)-X371))),0))</f>
        <v>14191.521282982918</v>
      </c>
      <c r="H371" s="255">
        <f ca="1">IF(MONTH(C371)=1,IF(B371&gt;69.5,F371/(INDEX('Retirement Planning'!D$1:D$264,(160+INT(B371))))/12,0),IF(F371=0,0,H370))</f>
        <v>12940.192978063233</v>
      </c>
      <c r="I371" s="262">
        <f t="shared" ca="1" si="140"/>
        <v>0</v>
      </c>
      <c r="J371" s="254">
        <f ca="1">IF(AND(B370&lt;59.5,OR(B371=59.5,B371&gt;59.5)),0,(J370-K370)*(1+'Retirement Planning'!$J$23/12))</f>
        <v>0</v>
      </c>
      <c r="K371" s="58">
        <f t="shared" ca="1" si="141"/>
        <v>0</v>
      </c>
      <c r="L371" s="57">
        <f>IF(AND(OR(B371&gt;59.5,B371=59.5),B370&lt;59.5),0,(L370-M370)*(1+'Retirement Planning'!$J$23/12))</f>
        <v>0</v>
      </c>
      <c r="M371" s="59">
        <f>IF(AND($B$10&lt;55,B371&lt;59.5),0,IF(B371&lt;59.5,MAX(0,MIN((($Y371+$AJ371+AA371)*'Retirement Planning'!$J$44)-$G371-$X371,L371)),0))</f>
        <v>0</v>
      </c>
      <c r="N371" s="57">
        <f ca="1">(N370-O370)*(1+'Retirement Planning'!$J$23/12)</f>
        <v>0</v>
      </c>
      <c r="O371" s="59">
        <f ca="1">IF(B371&gt;59.5,MAX(0,MIN((AA371+$Y371+$AJ371)*(IF(D371&lt;(MIN(E359:E370)+1),1,'Retirement Planning'!$J$44))-M371-$G371-$X371-(IF(D371&lt;(MIN(E359:E370)+1),D371,0)),N371)),0)</f>
        <v>0</v>
      </c>
      <c r="P371" s="57">
        <f t="shared" si="153"/>
        <v>0</v>
      </c>
      <c r="Q371" s="58">
        <f t="shared" si="154"/>
        <v>0</v>
      </c>
      <c r="R371" s="57">
        <f ca="1">(R370-S370-T370)*(1+'Retirement Planning'!$J$23/12)</f>
        <v>1240491.6243010086</v>
      </c>
      <c r="S371" s="58">
        <f t="shared" ca="1" si="155"/>
        <v>808.33333333333337</v>
      </c>
      <c r="T371" s="273">
        <f t="shared" ca="1" si="142"/>
        <v>-2.0463630789890885E-12</v>
      </c>
      <c r="U371" s="57">
        <f ca="1">(U370-V370)*(1+'Retirement Planning'!$J$23/12)</f>
        <v>737685.17458486895</v>
      </c>
      <c r="V371" s="24">
        <f ca="1">IF(AND($B$10&lt;55,B371&lt;59.5),MIN(U371,MAX(0,(Y371+AA371+AJ371-G371)*'Retirement Planning'!$J$45)),IF(B371&lt;59.5,(MIN(U371,MAX(0,((Y371+AA371+AJ371)-G371-M371)*'Retirement Planning'!$J$45))),MIN(U371,MAX(0,(Y371+AA371+AJ371-G371-M371-K371-X371)*'Retirement Planning'!$J$45))))</f>
        <v>1662.2316051021071</v>
      </c>
      <c r="W371" s="7">
        <f t="shared" ca="1" si="143"/>
        <v>4049705.7820216543</v>
      </c>
      <c r="X371" s="7">
        <f>(IF(B371&gt;'Retirement Planning'!$J$34,IF('Retirement Planning'!$J$34=70,'Retirement Planning'!$J$37/12,IF('Retirement Planning'!$J$34=67,'Retirement Planning'!$J$36/12,'Retirement Planning'!$J$35/12)),0))*'Retirement Planning'!$J$38</f>
        <v>1213.6000000000001</v>
      </c>
      <c r="Y371" s="7">
        <f ca="1">'Retirement Planning'!$F$35*((1+'Retirement Planning'!$J$24)^(YEAR('Projected Retirement Drawdown'!C371)-YEAR(TODAY())))</f>
        <v>14571.548717513266</v>
      </c>
      <c r="Z371" s="7">
        <f ca="1">G371+M371+O371+0.85*X371+V371*'Retirement Planning'!$J$46+T371</f>
        <v>16137.308665789074</v>
      </c>
      <c r="AA371" s="7">
        <f ca="1">IF(MONTH(C371)=1,(((MIN(MAX(0,((SUM(Z359:Z370)-'Retirement Planning'!$I$53-'Retirement Planning'!$I$54)-'Retirement Planning'!$J$51)*'Retirement Planning'!$I$52))))+(MIN(MAX(0,((SUM(Z359:Z370)-'Retirement Planning'!$I$53-'Retirement Planning'!$I$54)-'Retirement Planning'!$J$50)*'Retirement Planning'!$I$51),('Retirement Planning'!$J$51-'Retirement Planning'!$J$50)*'Retirement Planning'!$I$51))+(MIN(MAX(0,((SUM(Z359:Z370)-'Retirement Planning'!$I$53-'Retirement Planning'!$I$54)-'Retirement Planning'!$J$49)*'Retirement Planning'!$I$50),('Retirement Planning'!$J$50-'Retirement Planning'!$J$49)*'Retirement Planning'!$I$50)+MIN(MAX(0,((SUM(Z359:Z370)-'Retirement Planning'!$I$53-'Retirement Planning'!$I$54)-'Retirement Planning'!$J$48)*'Retirement Planning'!$I$49),('Retirement Planning'!$J$49-'Retirement Planning'!$J$48)*'Retirement Planning'!$I$49)+MIN(((SUM(Z359:Z370)-'Retirement Planning'!$I$53-'Retirement Planning'!$I$54))*'Retirement Planning'!$I$48,('Retirement Planning'!$J$48)*'Retirement Planning'!$I$48))+(IF((SUM(Z359:Z370)-'Retirement Planning'!$I$54-'Retirement Planning'!$I$61)&gt;'Retirement Planning'!$J$59,(SUM(Z359:Z370)-'Retirement Planning'!$I$54-'Retirement Planning'!$I$61-'Retirement Planning'!$J$59)*'Retirement Planning'!$I$60+'Retirement Planning'!$K$59,IF((SUM(Z359:Z370)-'Retirement Planning'!$I$54-'Retirement Planning'!$I$61)&gt;'Retirement Planning'!$J$58,(SUM(Z359:Z370)-'Retirement Planning'!$I$54-'Retirement Planning'!$I$61-'Retirement Planning'!$J$58)*'Retirement Planning'!$I$59+'Retirement Planning'!$K$58,IF((SUM(Z359:Z370)-'Retirement Planning'!$I$54-'Retirement Planning'!$I$61)&gt;'Retirement Planning'!$J$57,(SUM(Z359:Z370)-'Retirement Planning'!$I$54-'Retirement Planning'!$I$61-'Retirement Planning'!$J$57)*'Retirement Planning'!$I$58+'Retirement Planning'!$K$57,IF((SUM(Z359:Z370)-'Retirement Planning'!$I$54-'Retirement Planning'!$I$61)&gt;'Retirement Planning'!$J$56,(SUM(Z359:Z370)-'Retirement Planning'!$I$54-'Retirement Planning'!$I$61-'Retirement Planning'!$J$56)*'Retirement Planning'!$I$57+'Retirement Planning'!$K$56,(SUM(Z359:Z370)-'Retirement Planning'!$I$54-'Retirement Planning'!$I$61)*'Retirement Planning'!$I$56))))))/12,AA370)</f>
        <v>4130.4528664162617</v>
      </c>
      <c r="AB371" s="104">
        <f t="shared" ca="1" si="164"/>
        <v>0.2654824727656222</v>
      </c>
      <c r="AC371" s="7">
        <f>IF(B371&lt;65,'Retirement Planning'!$J$28,0)</f>
        <v>0</v>
      </c>
      <c r="AD371" s="7">
        <f>IF(B371&lt;65,'Retirement Planning'!$J$29/12,0)</f>
        <v>0</v>
      </c>
      <c r="AE371" s="22">
        <f>'Retirement Planning'!$J$31/12</f>
        <v>58.333333333333336</v>
      </c>
      <c r="AF371" s="22">
        <f>'Retirement Planning'!$J$32/12</f>
        <v>66.666666666666671</v>
      </c>
      <c r="AG371" s="7">
        <f>IF($B371&gt;64.9,'Retirement Planning'!$J$39/12,0)</f>
        <v>183.33333333333334</v>
      </c>
      <c r="AH371" s="7">
        <f>IF($B371&gt;64.9,'Retirement Planning'!$J$40/12,0)</f>
        <v>258.33333333333331</v>
      </c>
      <c r="AI371" s="7">
        <f>IF($B371&gt;64.9,'Retirement Planning'!$J$41/12,0)</f>
        <v>558.33333333333337</v>
      </c>
      <c r="AJ371" s="7">
        <f t="shared" ca="1" si="144"/>
        <v>316.66666666666663</v>
      </c>
      <c r="AK371" s="3" t="str">
        <f t="shared" ca="1" si="162"/>
        <v>N/A</v>
      </c>
      <c r="AL371" s="6" t="str">
        <f t="shared" ca="1" si="163"/>
        <v>N/A</v>
      </c>
      <c r="AM371" s="7">
        <f t="shared" ca="1" si="147"/>
        <v>-6.8212102632969618E-13</v>
      </c>
      <c r="AN371" s="7">
        <f t="shared" ca="1" si="148"/>
        <v>19827.001583929527</v>
      </c>
      <c r="AO371" s="7">
        <f t="shared" si="149"/>
        <v>1125</v>
      </c>
    </row>
    <row r="372" spans="1:41" x14ac:dyDescent="0.2">
      <c r="A372">
        <f t="shared" si="150"/>
        <v>50</v>
      </c>
      <c r="B372" s="5">
        <f t="shared" si="151"/>
        <v>86.5</v>
      </c>
      <c r="C372" s="56">
        <f t="shared" si="152"/>
        <v>57436</v>
      </c>
      <c r="D372" s="57">
        <f ca="1">IF(AND(B371&lt;59.5,OR(B372&gt;59.5,B372=59.5)),(D371-E371+J371-K371)*(1+'Retirement Planning'!$J$23/12),(D371-E371)*(1+'Retirement Planning'!$J$23/12))</f>
        <v>907723.93889168883</v>
      </c>
      <c r="E372" s="58">
        <f t="shared" ca="1" si="139"/>
        <v>1951.31536251117</v>
      </c>
      <c r="F372" s="57">
        <f ca="1">IF(AND(OR(B372&gt;59.5,B372=59.5),B371&lt;59.5),(F371-G371+L371-M371+N371-O371)*(1+'Retirement Planning'!$J$23/12),(F371-G371)*(1+'Retirement Planning'!$J$23/12))</f>
        <v>1162221.1928029002</v>
      </c>
      <c r="G372" s="58">
        <f ca="1">IF(AND($B$10&lt;55,B372&lt;59.5),'Retirement Planning'!$J$25,IF(OR(B372&gt;59.5,B372=59.5),MAX(0,MIN(F372,IF(D372&lt;2500,((Y372+AJ372+AA372))-X372,((Y372+AJ372+AA372)*'Retirement Planning'!$J$44)-X372))),0))</f>
        <v>14191.521282982918</v>
      </c>
      <c r="H372" s="255">
        <f ca="1">IF(MONTH(C372)=1,IF(B372&gt;69.5,F372/(INDEX('Retirement Planning'!D$1:D$264,(160+INT(B372))))/12,0),IF(F372=0,0,H371))</f>
        <v>12940.192978063233</v>
      </c>
      <c r="I372" s="262">
        <f t="shared" ca="1" si="140"/>
        <v>0</v>
      </c>
      <c r="J372" s="254">
        <f ca="1">IF(AND(B371&lt;59.5,OR(B372=59.5,B372&gt;59.5)),0,(J371-K371)*(1+'Retirement Planning'!$J$23/12))</f>
        <v>0</v>
      </c>
      <c r="K372" s="58">
        <f t="shared" ca="1" si="141"/>
        <v>0</v>
      </c>
      <c r="L372" s="57">
        <f>IF(AND(OR(B372&gt;59.5,B372=59.5),B371&lt;59.5),0,(L371-M371)*(1+'Retirement Planning'!$J$23/12))</f>
        <v>0</v>
      </c>
      <c r="M372" s="59">
        <f>IF(AND($B$10&lt;55,B372&lt;59.5),0,IF(B372&lt;59.5,MAX(0,MIN((($Y372+$AJ372+AA372)*'Retirement Planning'!$J$44)-$G372-$X372,L372)),0))</f>
        <v>0</v>
      </c>
      <c r="N372" s="57">
        <f ca="1">(N371-O371)*(1+'Retirement Planning'!$J$23/12)</f>
        <v>0</v>
      </c>
      <c r="O372" s="59">
        <f ca="1">IF(B372&gt;59.5,MAX(0,MIN((AA372+$Y372+$AJ372)*(IF(D372&lt;(MIN(E360:E371)+1),1,'Retirement Planning'!$J$44))-M372-$G372-$X372-(IF(D372&lt;(MIN(E360:E371)+1),D372,0)),N372)),0)</f>
        <v>0</v>
      </c>
      <c r="P372" s="57">
        <f t="shared" si="153"/>
        <v>0</v>
      </c>
      <c r="Q372" s="58">
        <f t="shared" si="154"/>
        <v>0</v>
      </c>
      <c r="R372" s="57">
        <f ca="1">(R371-S371-T371)*(1+'Retirement Planning'!$J$23/12)</f>
        <v>1248464.3809453631</v>
      </c>
      <c r="S372" s="58">
        <f t="shared" ca="1" si="155"/>
        <v>808.33333333333337</v>
      </c>
      <c r="T372" s="273">
        <f t="shared" ca="1" si="142"/>
        <v>-2.0463630789890885E-12</v>
      </c>
      <c r="U372" s="57">
        <f ca="1">(U371-V371)*(1+'Retirement Planning'!$J$23/12)</f>
        <v>741236.43882587354</v>
      </c>
      <c r="V372" s="24">
        <f ca="1">IF(AND($B$10&lt;55,B372&lt;59.5),MIN(U372,MAX(0,(Y372+AA372+AJ372-G372)*'Retirement Planning'!$J$45)),IF(B372&lt;59.5,(MIN(U372,MAX(0,((Y372+AA372+AJ372)-G372-M372)*'Retirement Planning'!$J$45))),MIN(U372,MAX(0,(Y372+AA372+AJ372-G372-M372-K372-X372)*'Retirement Planning'!$J$45))))</f>
        <v>1662.2316051021071</v>
      </c>
      <c r="W372" s="7">
        <f t="shared" ca="1" si="143"/>
        <v>4059645.9514658256</v>
      </c>
      <c r="X372" s="7">
        <f>(IF(B372&gt;'Retirement Planning'!$J$34,IF('Retirement Planning'!$J$34=70,'Retirement Planning'!$J$37/12,IF('Retirement Planning'!$J$34=67,'Retirement Planning'!$J$36/12,'Retirement Planning'!$J$35/12)),0))*'Retirement Planning'!$J$38</f>
        <v>1213.6000000000001</v>
      </c>
      <c r="Y372" s="7">
        <f ca="1">'Retirement Planning'!$F$35*((1+'Retirement Planning'!$J$24)^(YEAR('Projected Retirement Drawdown'!C372)-YEAR(TODAY())))</f>
        <v>14571.548717513266</v>
      </c>
      <c r="Z372" s="7">
        <f ca="1">G372+M372+O372+0.85*X372+V372*'Retirement Planning'!$J$46+T372</f>
        <v>16137.308665789074</v>
      </c>
      <c r="AA372" s="7">
        <f ca="1">IF(MONTH(C372)=1,(((MIN(MAX(0,((SUM(Z360:Z371)-'Retirement Planning'!$I$53-'Retirement Planning'!$I$54)-'Retirement Planning'!$J$51)*'Retirement Planning'!$I$52))))+(MIN(MAX(0,((SUM(Z360:Z371)-'Retirement Planning'!$I$53-'Retirement Planning'!$I$54)-'Retirement Planning'!$J$50)*'Retirement Planning'!$I$51),('Retirement Planning'!$J$51-'Retirement Planning'!$J$50)*'Retirement Planning'!$I$51))+(MIN(MAX(0,((SUM(Z360:Z371)-'Retirement Planning'!$I$53-'Retirement Planning'!$I$54)-'Retirement Planning'!$J$49)*'Retirement Planning'!$I$50),('Retirement Planning'!$J$50-'Retirement Planning'!$J$49)*'Retirement Planning'!$I$50)+MIN(MAX(0,((SUM(Z360:Z371)-'Retirement Planning'!$I$53-'Retirement Planning'!$I$54)-'Retirement Planning'!$J$48)*'Retirement Planning'!$I$49),('Retirement Planning'!$J$49-'Retirement Planning'!$J$48)*'Retirement Planning'!$I$49)+MIN(((SUM(Z360:Z371)-'Retirement Planning'!$I$53-'Retirement Planning'!$I$54))*'Retirement Planning'!$I$48,('Retirement Planning'!$J$48)*'Retirement Planning'!$I$48))+(IF((SUM(Z360:Z371)-'Retirement Planning'!$I$54-'Retirement Planning'!$I$61)&gt;'Retirement Planning'!$J$59,(SUM(Z360:Z371)-'Retirement Planning'!$I$54-'Retirement Planning'!$I$61-'Retirement Planning'!$J$59)*'Retirement Planning'!$I$60+'Retirement Planning'!$K$59,IF((SUM(Z360:Z371)-'Retirement Planning'!$I$54-'Retirement Planning'!$I$61)&gt;'Retirement Planning'!$J$58,(SUM(Z360:Z371)-'Retirement Planning'!$I$54-'Retirement Planning'!$I$61-'Retirement Planning'!$J$58)*'Retirement Planning'!$I$59+'Retirement Planning'!$K$58,IF((SUM(Z360:Z371)-'Retirement Planning'!$I$54-'Retirement Planning'!$I$61)&gt;'Retirement Planning'!$J$57,(SUM(Z360:Z371)-'Retirement Planning'!$I$54-'Retirement Planning'!$I$61-'Retirement Planning'!$J$57)*'Retirement Planning'!$I$58+'Retirement Planning'!$K$57,IF((SUM(Z360:Z371)-'Retirement Planning'!$I$54-'Retirement Planning'!$I$61)&gt;'Retirement Planning'!$J$56,(SUM(Z360:Z371)-'Retirement Planning'!$I$54-'Retirement Planning'!$I$61-'Retirement Planning'!$J$56)*'Retirement Planning'!$I$57+'Retirement Planning'!$K$56,(SUM(Z360:Z371)-'Retirement Planning'!$I$54-'Retirement Planning'!$I$61)*'Retirement Planning'!$I$56))))))/12,AA371)</f>
        <v>4130.4528664162617</v>
      </c>
      <c r="AB372" s="104">
        <f t="shared" ca="1" si="164"/>
        <v>0.2654824727656222</v>
      </c>
      <c r="AC372" s="7">
        <f>IF(B372&lt;65,'Retirement Planning'!$J$28,0)</f>
        <v>0</v>
      </c>
      <c r="AD372" s="7">
        <f>IF(B372&lt;65,'Retirement Planning'!$J$29/12,0)</f>
        <v>0</v>
      </c>
      <c r="AE372" s="22">
        <f>'Retirement Planning'!$J$31/12</f>
        <v>58.333333333333336</v>
      </c>
      <c r="AF372" s="22">
        <f>'Retirement Planning'!$J$32/12</f>
        <v>66.666666666666671</v>
      </c>
      <c r="AG372" s="7">
        <f>IF($B372&gt;64.9,'Retirement Planning'!$J$39/12,0)</f>
        <v>183.33333333333334</v>
      </c>
      <c r="AH372" s="7">
        <f>IF($B372&gt;64.9,'Retirement Planning'!$J$40/12,0)</f>
        <v>258.33333333333331</v>
      </c>
      <c r="AI372" s="7">
        <f>IF($B372&gt;64.9,'Retirement Planning'!$J$41/12,0)</f>
        <v>558.33333333333337</v>
      </c>
      <c r="AJ372" s="7">
        <f t="shared" ca="1" si="144"/>
        <v>316.66666666666663</v>
      </c>
      <c r="AK372" s="3" t="str">
        <f t="shared" ca="1" si="162"/>
        <v>N/A</v>
      </c>
      <c r="AL372" s="6" t="str">
        <f t="shared" ca="1" si="163"/>
        <v>N/A</v>
      </c>
      <c r="AM372" s="7">
        <f t="shared" ca="1" si="147"/>
        <v>-6.8212102632969618E-13</v>
      </c>
      <c r="AN372" s="7">
        <f t="shared" ca="1" si="148"/>
        <v>19827.001583929527</v>
      </c>
      <c r="AO372" s="7">
        <f t="shared" si="149"/>
        <v>1125</v>
      </c>
    </row>
    <row r="373" spans="1:41" x14ac:dyDescent="0.2">
      <c r="A373">
        <f t="shared" si="150"/>
        <v>50</v>
      </c>
      <c r="B373" s="5">
        <f t="shared" si="151"/>
        <v>86.5</v>
      </c>
      <c r="C373" s="56">
        <f t="shared" si="152"/>
        <v>57466</v>
      </c>
      <c r="D373" s="57">
        <f ca="1">IF(AND(B372&lt;59.5,OR(B373&gt;59.5,B373=59.5)),(D372-E372+J372-K372)*(1+'Retirement Planning'!$J$23/12),(D372-E372)*(1+'Retirement Planning'!$J$23/12))</f>
        <v>912188.51294584258</v>
      </c>
      <c r="E373" s="58">
        <f t="shared" ca="1" si="139"/>
        <v>1951.31536251117</v>
      </c>
      <c r="F373" s="57">
        <f ca="1">IF(AND(OR(B373&gt;59.5,B373=59.5),B372&lt;59.5),(F372-G372+L372-M372+N372-O372)*(1+'Retirement Planning'!$J$23/12),(F372-G372)*(1+'Retirement Planning'!$J$23/12))</f>
        <v>1156161.54835985</v>
      </c>
      <c r="G373" s="58">
        <f ca="1">IF(AND($B$10&lt;55,B373&lt;59.5),'Retirement Planning'!$J$25,IF(OR(B373&gt;59.5,B373=59.5),MAX(0,MIN(F373,IF(D373&lt;2500,((Y373+AJ373+AA373))-X373,((Y373+AJ373+AA373)*'Retirement Planning'!$J$44)-X373))),0))</f>
        <v>14191.521282982918</v>
      </c>
      <c r="H373" s="255">
        <f ca="1">IF(MONTH(C373)=1,IF(B373&gt;69.5,F373/(INDEX('Retirement Planning'!D$1:D$264,(160+INT(B373))))/12,0),IF(F373=0,0,H372))</f>
        <v>12940.192978063233</v>
      </c>
      <c r="I373" s="262">
        <f t="shared" ca="1" si="140"/>
        <v>0</v>
      </c>
      <c r="J373" s="254">
        <f ca="1">IF(AND(B372&lt;59.5,OR(B373=59.5,B373&gt;59.5)),0,(J372-K372)*(1+'Retirement Planning'!$J$23/12))</f>
        <v>0</v>
      </c>
      <c r="K373" s="58">
        <f t="shared" ca="1" si="141"/>
        <v>0</v>
      </c>
      <c r="L373" s="57">
        <f>IF(AND(OR(B373&gt;59.5,B373=59.5),B372&lt;59.5),0,(L372-M372)*(1+'Retirement Planning'!$J$23/12))</f>
        <v>0</v>
      </c>
      <c r="M373" s="59">
        <f>IF(AND($B$10&lt;55,B373&lt;59.5),0,IF(B373&lt;59.5,MAX(0,MIN((($Y373+$AJ373+AA373)*'Retirement Planning'!$J$44)-$G373-$X373,L373)),0))</f>
        <v>0</v>
      </c>
      <c r="N373" s="57">
        <f ca="1">(N372-O372)*(1+'Retirement Planning'!$J$23/12)</f>
        <v>0</v>
      </c>
      <c r="O373" s="59">
        <f ca="1">IF(B373&gt;59.5,MAX(0,MIN((AA373+$Y373+$AJ373)*(IF(D373&lt;(MIN(E361:E372)+1),1,'Retirement Planning'!$J$44))-M373-$G373-$X373-(IF(D373&lt;(MIN(E361:E372)+1),D373,0)),N373)),0)</f>
        <v>0</v>
      </c>
      <c r="P373" s="57">
        <f t="shared" si="153"/>
        <v>0</v>
      </c>
      <c r="Q373" s="58">
        <f t="shared" si="154"/>
        <v>0</v>
      </c>
      <c r="R373" s="57">
        <f ca="1">(R372-S372-T372)*(1+'Retirement Planning'!$J$23/12)</f>
        <v>1256493.611282615</v>
      </c>
      <c r="S373" s="58">
        <f t="shared" ca="1" si="155"/>
        <v>808.33333333333337</v>
      </c>
      <c r="T373" s="273">
        <f t="shared" ca="1" si="142"/>
        <v>-2.0463630789890885E-12</v>
      </c>
      <c r="U373" s="57">
        <f ca="1">(U372-V372)*(1+'Retirement Planning'!$J$23/12)</f>
        <v>744812.85785525187</v>
      </c>
      <c r="V373" s="24">
        <f ca="1">IF(AND($B$10&lt;55,B373&lt;59.5),MIN(U373,MAX(0,(Y373+AA373+AJ373-G373)*'Retirement Planning'!$J$45)),IF(B373&lt;59.5,(MIN(U373,MAX(0,((Y373+AA373+AJ373)-G373-M373)*'Retirement Planning'!$J$45))),MIN(U373,MAX(0,(Y373+AA373+AJ373-G373-M373-K373-X373)*'Retirement Planning'!$J$45))))</f>
        <v>1662.2316051021071</v>
      </c>
      <c r="W373" s="7">
        <f t="shared" ca="1" si="143"/>
        <v>4069656.5304435594</v>
      </c>
      <c r="X373" s="7">
        <f>(IF(B373&gt;'Retirement Planning'!$J$34,IF('Retirement Planning'!$J$34=70,'Retirement Planning'!$J$37/12,IF('Retirement Planning'!$J$34=67,'Retirement Planning'!$J$36/12,'Retirement Planning'!$J$35/12)),0))*'Retirement Planning'!$J$38</f>
        <v>1213.6000000000001</v>
      </c>
      <c r="Y373" s="7">
        <f ca="1">'Retirement Planning'!$F$35*((1+'Retirement Planning'!$J$24)^(YEAR('Projected Retirement Drawdown'!C373)-YEAR(TODAY())))</f>
        <v>14571.548717513266</v>
      </c>
      <c r="Z373" s="7">
        <f ca="1">G373+M373+O373+0.85*X373+V373*'Retirement Planning'!$J$46+T373</f>
        <v>16137.308665789074</v>
      </c>
      <c r="AA373" s="7">
        <f ca="1">IF(MONTH(C373)=1,(((MIN(MAX(0,((SUM(Z361:Z372)-'Retirement Planning'!$I$53-'Retirement Planning'!$I$54)-'Retirement Planning'!$J$51)*'Retirement Planning'!$I$52))))+(MIN(MAX(0,((SUM(Z361:Z372)-'Retirement Planning'!$I$53-'Retirement Planning'!$I$54)-'Retirement Planning'!$J$50)*'Retirement Planning'!$I$51),('Retirement Planning'!$J$51-'Retirement Planning'!$J$50)*'Retirement Planning'!$I$51))+(MIN(MAX(0,((SUM(Z361:Z372)-'Retirement Planning'!$I$53-'Retirement Planning'!$I$54)-'Retirement Planning'!$J$49)*'Retirement Planning'!$I$50),('Retirement Planning'!$J$50-'Retirement Planning'!$J$49)*'Retirement Planning'!$I$50)+MIN(MAX(0,((SUM(Z361:Z372)-'Retirement Planning'!$I$53-'Retirement Planning'!$I$54)-'Retirement Planning'!$J$48)*'Retirement Planning'!$I$49),('Retirement Planning'!$J$49-'Retirement Planning'!$J$48)*'Retirement Planning'!$I$49)+MIN(((SUM(Z361:Z372)-'Retirement Planning'!$I$53-'Retirement Planning'!$I$54))*'Retirement Planning'!$I$48,('Retirement Planning'!$J$48)*'Retirement Planning'!$I$48))+(IF((SUM(Z361:Z372)-'Retirement Planning'!$I$54-'Retirement Planning'!$I$61)&gt;'Retirement Planning'!$J$59,(SUM(Z361:Z372)-'Retirement Planning'!$I$54-'Retirement Planning'!$I$61-'Retirement Planning'!$J$59)*'Retirement Planning'!$I$60+'Retirement Planning'!$K$59,IF((SUM(Z361:Z372)-'Retirement Planning'!$I$54-'Retirement Planning'!$I$61)&gt;'Retirement Planning'!$J$58,(SUM(Z361:Z372)-'Retirement Planning'!$I$54-'Retirement Planning'!$I$61-'Retirement Planning'!$J$58)*'Retirement Planning'!$I$59+'Retirement Planning'!$K$58,IF((SUM(Z361:Z372)-'Retirement Planning'!$I$54-'Retirement Planning'!$I$61)&gt;'Retirement Planning'!$J$57,(SUM(Z361:Z372)-'Retirement Planning'!$I$54-'Retirement Planning'!$I$61-'Retirement Planning'!$J$57)*'Retirement Planning'!$I$58+'Retirement Planning'!$K$57,IF((SUM(Z361:Z372)-'Retirement Planning'!$I$54-'Retirement Planning'!$I$61)&gt;'Retirement Planning'!$J$56,(SUM(Z361:Z372)-'Retirement Planning'!$I$54-'Retirement Planning'!$I$61-'Retirement Planning'!$J$56)*'Retirement Planning'!$I$57+'Retirement Planning'!$K$56,(SUM(Z361:Z372)-'Retirement Planning'!$I$54-'Retirement Planning'!$I$61)*'Retirement Planning'!$I$56))))))/12,AA372)</f>
        <v>4130.4528664162617</v>
      </c>
      <c r="AB373" s="104">
        <f t="shared" ca="1" si="164"/>
        <v>0.2654824727656222</v>
      </c>
      <c r="AC373" s="7">
        <f>IF(B373&lt;65,'Retirement Planning'!$J$28,0)</f>
        <v>0</v>
      </c>
      <c r="AD373" s="7">
        <f>IF(B373&lt;65,'Retirement Planning'!$J$29/12,0)</f>
        <v>0</v>
      </c>
      <c r="AE373" s="22">
        <f>'Retirement Planning'!$J$31/12</f>
        <v>58.333333333333336</v>
      </c>
      <c r="AF373" s="22">
        <f>'Retirement Planning'!$J$32/12</f>
        <v>66.666666666666671</v>
      </c>
      <c r="AG373" s="7">
        <f>IF($B373&gt;64.9,'Retirement Planning'!$J$39/12,0)</f>
        <v>183.33333333333334</v>
      </c>
      <c r="AH373" s="7">
        <f>IF($B373&gt;64.9,'Retirement Planning'!$J$40/12,0)</f>
        <v>258.33333333333331</v>
      </c>
      <c r="AI373" s="7">
        <f>IF($B373&gt;64.9,'Retirement Planning'!$J$41/12,0)</f>
        <v>558.33333333333337</v>
      </c>
      <c r="AJ373" s="7">
        <f t="shared" ca="1" si="144"/>
        <v>316.66666666666663</v>
      </c>
      <c r="AK373" s="3" t="str">
        <f t="shared" ca="1" si="162"/>
        <v>N/A</v>
      </c>
      <c r="AL373" s="6" t="str">
        <f t="shared" ca="1" si="163"/>
        <v>N/A</v>
      </c>
      <c r="AM373" s="7">
        <f t="shared" ca="1" si="147"/>
        <v>-6.8212102632969618E-13</v>
      </c>
      <c r="AN373" s="7">
        <f t="shared" ca="1" si="148"/>
        <v>19827.001583929527</v>
      </c>
      <c r="AO373" s="7">
        <f t="shared" si="149"/>
        <v>1125</v>
      </c>
    </row>
    <row r="374" spans="1:41" x14ac:dyDescent="0.2">
      <c r="A374">
        <f t="shared" si="150"/>
        <v>50</v>
      </c>
      <c r="B374" s="5">
        <f t="shared" si="151"/>
        <v>86.6</v>
      </c>
      <c r="C374" s="56">
        <f t="shared" si="152"/>
        <v>57497</v>
      </c>
      <c r="D374" s="57">
        <f ca="1">IF(AND(B373&lt;59.5,OR(B374&gt;59.5,B374=59.5)),(D373-E373+J373-K373)*(1+'Retirement Planning'!$J$23/12),(D373-E373)*(1+'Retirement Planning'!$J$23/12))</f>
        <v>916684.71106621332</v>
      </c>
      <c r="E374" s="58">
        <f t="shared" ca="1" si="139"/>
        <v>1951.31536251117</v>
      </c>
      <c r="F374" s="57">
        <f ca="1">IF(AND(OR(B374&gt;59.5,B374=59.5),B373&lt;59.5),(F373-G373+L373-M373+N373-O373)*(1+'Retirement Planning'!$J$23/12),(F373-G373)*(1+'Retirement Planning'!$J$23/12))</f>
        <v>1150058.981435328</v>
      </c>
      <c r="G374" s="58">
        <f ca="1">IF(AND($B$10&lt;55,B374&lt;59.5),'Retirement Planning'!$J$25,IF(OR(B374&gt;59.5,B374=59.5),MAX(0,MIN(F374,IF(D374&lt;2500,((Y374+AJ374+AA374))-X374,((Y374+AJ374+AA374)*'Retirement Planning'!$J$44)-X374))),0))</f>
        <v>14191.521282982918</v>
      </c>
      <c r="H374" s="255">
        <f ca="1">IF(MONTH(C374)=1,IF(B374&gt;69.5,F374/(INDEX('Retirement Planning'!D$1:D$264,(160+INT(B374))))/12,0),IF(F374=0,0,H373))</f>
        <v>12940.192978063233</v>
      </c>
      <c r="I374" s="262">
        <f t="shared" ca="1" si="140"/>
        <v>0</v>
      </c>
      <c r="J374" s="254">
        <f ca="1">IF(AND(B373&lt;59.5,OR(B374=59.5,B374&gt;59.5)),0,(J373-K373)*(1+'Retirement Planning'!$J$23/12))</f>
        <v>0</v>
      </c>
      <c r="K374" s="58">
        <f t="shared" ca="1" si="141"/>
        <v>0</v>
      </c>
      <c r="L374" s="57">
        <f>IF(AND(OR(B374&gt;59.5,B374=59.5),B373&lt;59.5),0,(L373-M373)*(1+'Retirement Planning'!$J$23/12))</f>
        <v>0</v>
      </c>
      <c r="M374" s="59">
        <f>IF(AND($B$10&lt;55,B374&lt;59.5),0,IF(B374&lt;59.5,MAX(0,MIN((($Y374+$AJ374+AA374)*'Retirement Planning'!$J$44)-$G374-$X374,L374)),0))</f>
        <v>0</v>
      </c>
      <c r="N374" s="57">
        <f ca="1">(N373-O373)*(1+'Retirement Planning'!$J$23/12)</f>
        <v>0</v>
      </c>
      <c r="O374" s="59">
        <f ca="1">IF(B374&gt;59.5,MAX(0,MIN((AA374+$Y374+$AJ374)*(IF(D374&lt;(MIN(E362:E373)+1),1,'Retirement Planning'!$J$44))-M374-$G374-$X374-(IF(D374&lt;(MIN(E362:E373)+1),D374,0)),N374)),0)</f>
        <v>0</v>
      </c>
      <c r="P374" s="57">
        <f t="shared" si="153"/>
        <v>0</v>
      </c>
      <c r="Q374" s="58">
        <f t="shared" si="154"/>
        <v>0</v>
      </c>
      <c r="R374" s="57">
        <f ca="1">(R373-S373-T373)*(1+'Retirement Planning'!$J$23/12)</f>
        <v>1264579.7153347558</v>
      </c>
      <c r="S374" s="58">
        <f t="shared" ca="1" si="155"/>
        <v>808.33333333333337</v>
      </c>
      <c r="T374" s="273">
        <f t="shared" ca="1" si="142"/>
        <v>-2.0463630789890885E-12</v>
      </c>
      <c r="U374" s="57">
        <f ca="1">(U373-V373)*(1+'Retirement Planning'!$J$23/12)</f>
        <v>748414.60985275498</v>
      </c>
      <c r="V374" s="24">
        <f ca="1">IF(AND($B$10&lt;55,B374&lt;59.5),MIN(U374,MAX(0,(Y374+AA374+AJ374-G374)*'Retirement Planning'!$J$45)),IF(B374&lt;59.5,(MIN(U374,MAX(0,((Y374+AA374+AJ374)-G374-M374)*'Retirement Planning'!$J$45))),MIN(U374,MAX(0,(Y374+AA374+AJ374-G374-M374-K374-X374)*'Retirement Planning'!$J$45))))</f>
        <v>1662.2316051021071</v>
      </c>
      <c r="W374" s="7">
        <f t="shared" ca="1" si="143"/>
        <v>4079738.017689052</v>
      </c>
      <c r="X374" s="7">
        <f>(IF(B374&gt;'Retirement Planning'!$J$34,IF('Retirement Planning'!$J$34=70,'Retirement Planning'!$J$37/12,IF('Retirement Planning'!$J$34=67,'Retirement Planning'!$J$36/12,'Retirement Planning'!$J$35/12)),0))*'Retirement Planning'!$J$38</f>
        <v>1213.6000000000001</v>
      </c>
      <c r="Y374" s="7">
        <f ca="1">'Retirement Planning'!$F$35*((1+'Retirement Planning'!$J$24)^(YEAR('Projected Retirement Drawdown'!C374)-YEAR(TODAY())))</f>
        <v>14571.548717513266</v>
      </c>
      <c r="Z374" s="7">
        <f ca="1">G374+M374+O374+0.85*X374+V374*'Retirement Planning'!$J$46+T374</f>
        <v>16137.308665789074</v>
      </c>
      <c r="AA374" s="7">
        <f ca="1">IF(MONTH(C374)=1,(((MIN(MAX(0,((SUM(Z362:Z373)-'Retirement Planning'!$I$53-'Retirement Planning'!$I$54)-'Retirement Planning'!$J$51)*'Retirement Planning'!$I$52))))+(MIN(MAX(0,((SUM(Z362:Z373)-'Retirement Planning'!$I$53-'Retirement Planning'!$I$54)-'Retirement Planning'!$J$50)*'Retirement Planning'!$I$51),('Retirement Planning'!$J$51-'Retirement Planning'!$J$50)*'Retirement Planning'!$I$51))+(MIN(MAX(0,((SUM(Z362:Z373)-'Retirement Planning'!$I$53-'Retirement Planning'!$I$54)-'Retirement Planning'!$J$49)*'Retirement Planning'!$I$50),('Retirement Planning'!$J$50-'Retirement Planning'!$J$49)*'Retirement Planning'!$I$50)+MIN(MAX(0,((SUM(Z362:Z373)-'Retirement Planning'!$I$53-'Retirement Planning'!$I$54)-'Retirement Planning'!$J$48)*'Retirement Planning'!$I$49),('Retirement Planning'!$J$49-'Retirement Planning'!$J$48)*'Retirement Planning'!$I$49)+MIN(((SUM(Z362:Z373)-'Retirement Planning'!$I$53-'Retirement Planning'!$I$54))*'Retirement Planning'!$I$48,('Retirement Planning'!$J$48)*'Retirement Planning'!$I$48))+(IF((SUM(Z362:Z373)-'Retirement Planning'!$I$54-'Retirement Planning'!$I$61)&gt;'Retirement Planning'!$J$59,(SUM(Z362:Z373)-'Retirement Planning'!$I$54-'Retirement Planning'!$I$61-'Retirement Planning'!$J$59)*'Retirement Planning'!$I$60+'Retirement Planning'!$K$59,IF((SUM(Z362:Z373)-'Retirement Planning'!$I$54-'Retirement Planning'!$I$61)&gt;'Retirement Planning'!$J$58,(SUM(Z362:Z373)-'Retirement Planning'!$I$54-'Retirement Planning'!$I$61-'Retirement Planning'!$J$58)*'Retirement Planning'!$I$59+'Retirement Planning'!$K$58,IF((SUM(Z362:Z373)-'Retirement Planning'!$I$54-'Retirement Planning'!$I$61)&gt;'Retirement Planning'!$J$57,(SUM(Z362:Z373)-'Retirement Planning'!$I$54-'Retirement Planning'!$I$61-'Retirement Planning'!$J$57)*'Retirement Planning'!$I$58+'Retirement Planning'!$K$57,IF((SUM(Z362:Z373)-'Retirement Planning'!$I$54-'Retirement Planning'!$I$61)&gt;'Retirement Planning'!$J$56,(SUM(Z362:Z373)-'Retirement Planning'!$I$54-'Retirement Planning'!$I$61-'Retirement Planning'!$J$56)*'Retirement Planning'!$I$57+'Retirement Planning'!$K$56,(SUM(Z362:Z373)-'Retirement Planning'!$I$54-'Retirement Planning'!$I$61)*'Retirement Planning'!$I$56))))))/12,AA373)</f>
        <v>4130.4528664162617</v>
      </c>
      <c r="AB374" s="104">
        <f t="shared" ca="1" si="164"/>
        <v>0.2654824727656222</v>
      </c>
      <c r="AC374" s="7">
        <f>IF(B374&lt;65,'Retirement Planning'!$J$28,0)</f>
        <v>0</v>
      </c>
      <c r="AD374" s="7">
        <f>IF(B374&lt;65,'Retirement Planning'!$J$29/12,0)</f>
        <v>0</v>
      </c>
      <c r="AE374" s="22">
        <f>'Retirement Planning'!$J$31/12</f>
        <v>58.333333333333336</v>
      </c>
      <c r="AF374" s="22">
        <f>'Retirement Planning'!$J$32/12</f>
        <v>66.666666666666671</v>
      </c>
      <c r="AG374" s="7">
        <f>IF($B374&gt;64.9,'Retirement Planning'!$J$39/12,0)</f>
        <v>183.33333333333334</v>
      </c>
      <c r="AH374" s="7">
        <f>IF($B374&gt;64.9,'Retirement Planning'!$J$40/12,0)</f>
        <v>258.33333333333331</v>
      </c>
      <c r="AI374" s="7">
        <f>IF($B374&gt;64.9,'Retirement Planning'!$J$41/12,0)</f>
        <v>558.33333333333337</v>
      </c>
      <c r="AJ374" s="7">
        <f t="shared" ca="1" si="144"/>
        <v>316.66666666666663</v>
      </c>
      <c r="AK374" s="3" t="str">
        <f t="shared" ca="1" si="162"/>
        <v>N/A</v>
      </c>
      <c r="AL374" s="6" t="str">
        <f t="shared" ca="1" si="163"/>
        <v>N/A</v>
      </c>
      <c r="AM374" s="7">
        <f t="shared" ca="1" si="147"/>
        <v>-6.8212102632969618E-13</v>
      </c>
      <c r="AN374" s="7">
        <f t="shared" ca="1" si="148"/>
        <v>19827.001583929527</v>
      </c>
      <c r="AO374" s="7">
        <f t="shared" si="149"/>
        <v>1125</v>
      </c>
    </row>
    <row r="375" spans="1:41" x14ac:dyDescent="0.2">
      <c r="A375">
        <f t="shared" si="150"/>
        <v>50</v>
      </c>
      <c r="B375" s="5">
        <f t="shared" si="151"/>
        <v>86.7</v>
      </c>
      <c r="C375" s="56">
        <f t="shared" si="152"/>
        <v>57527</v>
      </c>
      <c r="D375" s="57">
        <f ca="1">IF(AND(B374&lt;59.5,OR(B375&gt;59.5,B375=59.5)),(D374-E374+J374-K374)*(1+'Retirement Planning'!$J$23/12),(D374-E374)*(1+'Retirement Planning'!$J$23/12))</f>
        <v>921212.75725660333</v>
      </c>
      <c r="E375" s="58">
        <f t="shared" ca="1" si="139"/>
        <v>1951.31536251117</v>
      </c>
      <c r="F375" s="57">
        <f ca="1">IF(AND(OR(B375&gt;59.5,B375=59.5),B374&lt;59.5),(F374-G374+L374-M374+N374-O374)*(1+'Retirement Planning'!$J$23/12),(F374-G374)*(1+'Retirement Planning'!$J$23/12))</f>
        <v>1143913.1879950908</v>
      </c>
      <c r="G375" s="58">
        <f ca="1">IF(AND($B$10&lt;55,B375&lt;59.5),'Retirement Planning'!$J$25,IF(OR(B375&gt;59.5,B375=59.5),MAX(0,MIN(F375,IF(D375&lt;2500,((Y375+AJ375+AA375))-X375,((Y375+AJ375+AA375)*'Retirement Planning'!$J$44)-X375))),0))</f>
        <v>14191.521282982918</v>
      </c>
      <c r="H375" s="255">
        <f ca="1">IF(MONTH(C375)=1,IF(B375&gt;69.5,F375/(INDEX('Retirement Planning'!D$1:D$264,(160+INT(B375))))/12,0),IF(F375=0,0,H374))</f>
        <v>12940.192978063233</v>
      </c>
      <c r="I375" s="262">
        <f t="shared" ca="1" si="140"/>
        <v>0</v>
      </c>
      <c r="J375" s="254">
        <f ca="1">IF(AND(B374&lt;59.5,OR(B375=59.5,B375&gt;59.5)),0,(J374-K374)*(1+'Retirement Planning'!$J$23/12))</f>
        <v>0</v>
      </c>
      <c r="K375" s="58">
        <f t="shared" ca="1" si="141"/>
        <v>0</v>
      </c>
      <c r="L375" s="57">
        <f>IF(AND(OR(B375&gt;59.5,B375=59.5),B374&lt;59.5),0,(L374-M374)*(1+'Retirement Planning'!$J$23/12))</f>
        <v>0</v>
      </c>
      <c r="M375" s="59">
        <f>IF(AND($B$10&lt;55,B375&lt;59.5),0,IF(B375&lt;59.5,MAX(0,MIN((($Y375+$AJ375+AA375)*'Retirement Planning'!$J$44)-$G375-$X375,L375)),0))</f>
        <v>0</v>
      </c>
      <c r="N375" s="57">
        <f ca="1">(N374-O374)*(1+'Retirement Planning'!$J$23/12)</f>
        <v>0</v>
      </c>
      <c r="O375" s="59">
        <f ca="1">IF(B375&gt;59.5,MAX(0,MIN((AA375+$Y375+$AJ375)*(IF(D375&lt;(MIN(E363:E374)+1),1,'Retirement Planning'!$J$44))-M375-$G375-$X375-(IF(D375&lt;(MIN(E363:E374)+1),D375,0)),N375)),0)</f>
        <v>0</v>
      </c>
      <c r="P375" s="57">
        <f t="shared" si="153"/>
        <v>0</v>
      </c>
      <c r="Q375" s="58">
        <f t="shared" si="154"/>
        <v>0</v>
      </c>
      <c r="R375" s="57">
        <f ca="1">(R374-S374-T374)*(1+'Retirement Planning'!$J$23/12)</f>
        <v>1272723.0959572659</v>
      </c>
      <c r="S375" s="58">
        <f t="shared" ca="1" si="155"/>
        <v>808.33333333333337</v>
      </c>
      <c r="T375" s="273">
        <f t="shared" ca="1" si="142"/>
        <v>-2.0463630789890885E-12</v>
      </c>
      <c r="U375" s="57">
        <f ca="1">(U374-V374)*(1+'Retirement Planning'!$J$23/12)</f>
        <v>752041.87426024047</v>
      </c>
      <c r="V375" s="24">
        <f ca="1">IF(AND($B$10&lt;55,B375&lt;59.5),MIN(U375,MAX(0,(Y375+AA375+AJ375-G375)*'Retirement Planning'!$J$45)),IF(B375&lt;59.5,(MIN(U375,MAX(0,((Y375+AA375+AJ375)-G375-M375)*'Retirement Planning'!$J$45))),MIN(U375,MAX(0,(Y375+AA375+AJ375-G375-M375-K375-X375)*'Retirement Planning'!$J$45))))</f>
        <v>1662.2316051021071</v>
      </c>
      <c r="W375" s="7">
        <f t="shared" ca="1" si="143"/>
        <v>4089890.9154692004</v>
      </c>
      <c r="X375" s="7">
        <f>(IF(B375&gt;'Retirement Planning'!$J$34,IF('Retirement Planning'!$J$34=70,'Retirement Planning'!$J$37/12,IF('Retirement Planning'!$J$34=67,'Retirement Planning'!$J$36/12,'Retirement Planning'!$J$35/12)),0))*'Retirement Planning'!$J$38</f>
        <v>1213.6000000000001</v>
      </c>
      <c r="Y375" s="7">
        <f ca="1">'Retirement Planning'!$F$35*((1+'Retirement Planning'!$J$24)^(YEAR('Projected Retirement Drawdown'!C375)-YEAR(TODAY())))</f>
        <v>14571.548717513266</v>
      </c>
      <c r="Z375" s="7">
        <f ca="1">G375+M375+O375+0.85*X375+V375*'Retirement Planning'!$J$46+T375</f>
        <v>16137.308665789074</v>
      </c>
      <c r="AA375" s="7">
        <f ca="1">IF(MONTH(C375)=1,(((MIN(MAX(0,((SUM(Z363:Z374)-'Retirement Planning'!$I$53-'Retirement Planning'!$I$54)-'Retirement Planning'!$J$51)*'Retirement Planning'!$I$52))))+(MIN(MAX(0,((SUM(Z363:Z374)-'Retirement Planning'!$I$53-'Retirement Planning'!$I$54)-'Retirement Planning'!$J$50)*'Retirement Planning'!$I$51),('Retirement Planning'!$J$51-'Retirement Planning'!$J$50)*'Retirement Planning'!$I$51))+(MIN(MAX(0,((SUM(Z363:Z374)-'Retirement Planning'!$I$53-'Retirement Planning'!$I$54)-'Retirement Planning'!$J$49)*'Retirement Planning'!$I$50),('Retirement Planning'!$J$50-'Retirement Planning'!$J$49)*'Retirement Planning'!$I$50)+MIN(MAX(0,((SUM(Z363:Z374)-'Retirement Planning'!$I$53-'Retirement Planning'!$I$54)-'Retirement Planning'!$J$48)*'Retirement Planning'!$I$49),('Retirement Planning'!$J$49-'Retirement Planning'!$J$48)*'Retirement Planning'!$I$49)+MIN(((SUM(Z363:Z374)-'Retirement Planning'!$I$53-'Retirement Planning'!$I$54))*'Retirement Planning'!$I$48,('Retirement Planning'!$J$48)*'Retirement Planning'!$I$48))+(IF((SUM(Z363:Z374)-'Retirement Planning'!$I$54-'Retirement Planning'!$I$61)&gt;'Retirement Planning'!$J$59,(SUM(Z363:Z374)-'Retirement Planning'!$I$54-'Retirement Planning'!$I$61-'Retirement Planning'!$J$59)*'Retirement Planning'!$I$60+'Retirement Planning'!$K$59,IF((SUM(Z363:Z374)-'Retirement Planning'!$I$54-'Retirement Planning'!$I$61)&gt;'Retirement Planning'!$J$58,(SUM(Z363:Z374)-'Retirement Planning'!$I$54-'Retirement Planning'!$I$61-'Retirement Planning'!$J$58)*'Retirement Planning'!$I$59+'Retirement Planning'!$K$58,IF((SUM(Z363:Z374)-'Retirement Planning'!$I$54-'Retirement Planning'!$I$61)&gt;'Retirement Planning'!$J$57,(SUM(Z363:Z374)-'Retirement Planning'!$I$54-'Retirement Planning'!$I$61-'Retirement Planning'!$J$57)*'Retirement Planning'!$I$58+'Retirement Planning'!$K$57,IF((SUM(Z363:Z374)-'Retirement Planning'!$I$54-'Retirement Planning'!$I$61)&gt;'Retirement Planning'!$J$56,(SUM(Z363:Z374)-'Retirement Planning'!$I$54-'Retirement Planning'!$I$61-'Retirement Planning'!$J$56)*'Retirement Planning'!$I$57+'Retirement Planning'!$K$56,(SUM(Z363:Z374)-'Retirement Planning'!$I$54-'Retirement Planning'!$I$61)*'Retirement Planning'!$I$56))))))/12,AA374)</f>
        <v>4130.4528664162617</v>
      </c>
      <c r="AB375" s="104">
        <f t="shared" ca="1" si="164"/>
        <v>0.2654824727656222</v>
      </c>
      <c r="AC375" s="7">
        <f>IF(B375&lt;65,'Retirement Planning'!$J$28,0)</f>
        <v>0</v>
      </c>
      <c r="AD375" s="7">
        <f>IF(B375&lt;65,'Retirement Planning'!$J$29/12,0)</f>
        <v>0</v>
      </c>
      <c r="AE375" s="22">
        <f>'Retirement Planning'!$J$31/12</f>
        <v>58.333333333333336</v>
      </c>
      <c r="AF375" s="22">
        <f>'Retirement Planning'!$J$32/12</f>
        <v>66.666666666666671</v>
      </c>
      <c r="AG375" s="7">
        <f>IF($B375&gt;64.9,'Retirement Planning'!$J$39/12,0)</f>
        <v>183.33333333333334</v>
      </c>
      <c r="AH375" s="7">
        <f>IF($B375&gt;64.9,'Retirement Planning'!$J$40/12,0)</f>
        <v>258.33333333333331</v>
      </c>
      <c r="AI375" s="7">
        <f>IF($B375&gt;64.9,'Retirement Planning'!$J$41/12,0)</f>
        <v>558.33333333333337</v>
      </c>
      <c r="AJ375" s="7">
        <f t="shared" ca="1" si="144"/>
        <v>316.66666666666663</v>
      </c>
      <c r="AK375" s="3" t="str">
        <f t="shared" ca="1" si="162"/>
        <v>N/A</v>
      </c>
      <c r="AL375" s="6" t="str">
        <f t="shared" ca="1" si="163"/>
        <v>N/A</v>
      </c>
      <c r="AM375" s="7">
        <f t="shared" ca="1" si="147"/>
        <v>-6.8212102632969618E-13</v>
      </c>
      <c r="AN375" s="7">
        <f t="shared" ca="1" si="148"/>
        <v>19827.001583929527</v>
      </c>
      <c r="AO375" s="7">
        <f t="shared" si="149"/>
        <v>1125</v>
      </c>
    </row>
    <row r="376" spans="1:41" x14ac:dyDescent="0.2">
      <c r="A376">
        <f t="shared" si="150"/>
        <v>50</v>
      </c>
      <c r="B376" s="5">
        <f t="shared" si="151"/>
        <v>86.8</v>
      </c>
      <c r="C376" s="56">
        <f t="shared" si="152"/>
        <v>57558</v>
      </c>
      <c r="D376" s="57">
        <f ca="1">IF(AND(B375&lt;59.5,OR(B376&gt;59.5,B376=59.5)),(D375-E375+J375-K375)*(1+'Retirement Planning'!$J$23/12),(D375-E375)*(1+'Retirement Planning'!$J$23/12))</f>
        <v>925772.8771075086</v>
      </c>
      <c r="E376" s="58">
        <f t="shared" ca="1" si="139"/>
        <v>1951.31536251117</v>
      </c>
      <c r="F376" s="57">
        <f ca="1">IF(AND(OR(B376&gt;59.5,B376=59.5),B375&lt;59.5),(F375-G375+L375-M375+N375-O375)*(1+'Retirement Planning'!$J$23/12),(F375-G375)*(1+'Retirement Planning'!$J$23/12))</f>
        <v>1137723.8618513185</v>
      </c>
      <c r="G376" s="58">
        <f ca="1">IF(AND($B$10&lt;55,B376&lt;59.5),'Retirement Planning'!$J$25,IF(OR(B376&gt;59.5,B376=59.5),MAX(0,MIN(F376,IF(D376&lt;2500,((Y376+AJ376+AA376))-X376,((Y376+AJ376+AA376)*'Retirement Planning'!$J$44)-X376))),0))</f>
        <v>14191.521282982918</v>
      </c>
      <c r="H376" s="255">
        <f ca="1">IF(MONTH(C376)=1,IF(B376&gt;69.5,F376/(INDEX('Retirement Planning'!D$1:D$264,(160+INT(B376))))/12,0),IF(F376=0,0,H375))</f>
        <v>12940.192978063233</v>
      </c>
      <c r="I376" s="262">
        <f t="shared" ca="1" si="140"/>
        <v>0</v>
      </c>
      <c r="J376" s="254">
        <f ca="1">IF(AND(B375&lt;59.5,OR(B376=59.5,B376&gt;59.5)),0,(J375-K375)*(1+'Retirement Planning'!$J$23/12))</f>
        <v>0</v>
      </c>
      <c r="K376" s="58">
        <f t="shared" ca="1" si="141"/>
        <v>0</v>
      </c>
      <c r="L376" s="57">
        <f>IF(AND(OR(B376&gt;59.5,B376=59.5),B375&lt;59.5),0,(L375-M375)*(1+'Retirement Planning'!$J$23/12))</f>
        <v>0</v>
      </c>
      <c r="M376" s="59">
        <f>IF(AND($B$10&lt;55,B376&lt;59.5),0,IF(B376&lt;59.5,MAX(0,MIN((($Y376+$AJ376+AA376)*'Retirement Planning'!$J$44)-$G376-$X376,L376)),0))</f>
        <v>0</v>
      </c>
      <c r="N376" s="57">
        <f ca="1">(N375-O375)*(1+'Retirement Planning'!$J$23/12)</f>
        <v>0</v>
      </c>
      <c r="O376" s="59">
        <f ca="1">IF(B376&gt;59.5,MAX(0,MIN((AA376+$Y376+$AJ376)*(IF(D376&lt;(MIN(E364:E375)+1),1,'Retirement Planning'!$J$44))-M376-$G376-$X376-(IF(D376&lt;(MIN(E364:E375)+1),D376,0)),N376)),0)</f>
        <v>0</v>
      </c>
      <c r="P376" s="57">
        <f t="shared" si="153"/>
        <v>0</v>
      </c>
      <c r="Q376" s="58">
        <f t="shared" si="154"/>
        <v>0</v>
      </c>
      <c r="R376" s="57">
        <f ca="1">(R375-S375-T375)*(1+'Retirement Planning'!$J$23/12)</f>
        <v>1280924.1588591856</v>
      </c>
      <c r="S376" s="58">
        <f t="shared" ca="1" si="155"/>
        <v>808.33333333333337</v>
      </c>
      <c r="T376" s="273">
        <f t="shared" ca="1" si="142"/>
        <v>-2.0463630789890885E-12</v>
      </c>
      <c r="U376" s="57">
        <f ca="1">(U375-V375)*(1+'Retirement Planning'!$J$23/12)</f>
        <v>755694.83179061231</v>
      </c>
      <c r="V376" s="24">
        <f ca="1">IF(AND($B$10&lt;55,B376&lt;59.5),MIN(U376,MAX(0,(Y376+AA376+AJ376-G376)*'Retirement Planning'!$J$45)),IF(B376&lt;59.5,(MIN(U376,MAX(0,((Y376+AA376+AJ376)-G376-M376)*'Retirement Planning'!$J$45))),MIN(U376,MAX(0,(Y376+AA376+AJ376-G376-M376-K376-X376)*'Retirement Planning'!$J$45))))</f>
        <v>1662.2316051021071</v>
      </c>
      <c r="W376" s="7">
        <f t="shared" ca="1" si="143"/>
        <v>4100115.7296086252</v>
      </c>
      <c r="X376" s="7">
        <f>(IF(B376&gt;'Retirement Planning'!$J$34,IF('Retirement Planning'!$J$34=70,'Retirement Planning'!$J$37/12,IF('Retirement Planning'!$J$34=67,'Retirement Planning'!$J$36/12,'Retirement Planning'!$J$35/12)),0))*'Retirement Planning'!$J$38</f>
        <v>1213.6000000000001</v>
      </c>
      <c r="Y376" s="7">
        <f ca="1">'Retirement Planning'!$F$35*((1+'Retirement Planning'!$J$24)^(YEAR('Projected Retirement Drawdown'!C376)-YEAR(TODAY())))</f>
        <v>14571.548717513266</v>
      </c>
      <c r="Z376" s="7">
        <f ca="1">G376+M376+O376+0.85*X376+V376*'Retirement Planning'!$J$46+T376</f>
        <v>16137.308665789074</v>
      </c>
      <c r="AA376" s="7">
        <f ca="1">IF(MONTH(C376)=1,(((MIN(MAX(0,((SUM(Z364:Z375)-'Retirement Planning'!$I$53-'Retirement Planning'!$I$54)-'Retirement Planning'!$J$51)*'Retirement Planning'!$I$52))))+(MIN(MAX(0,((SUM(Z364:Z375)-'Retirement Planning'!$I$53-'Retirement Planning'!$I$54)-'Retirement Planning'!$J$50)*'Retirement Planning'!$I$51),('Retirement Planning'!$J$51-'Retirement Planning'!$J$50)*'Retirement Planning'!$I$51))+(MIN(MAX(0,((SUM(Z364:Z375)-'Retirement Planning'!$I$53-'Retirement Planning'!$I$54)-'Retirement Planning'!$J$49)*'Retirement Planning'!$I$50),('Retirement Planning'!$J$50-'Retirement Planning'!$J$49)*'Retirement Planning'!$I$50)+MIN(MAX(0,((SUM(Z364:Z375)-'Retirement Planning'!$I$53-'Retirement Planning'!$I$54)-'Retirement Planning'!$J$48)*'Retirement Planning'!$I$49),('Retirement Planning'!$J$49-'Retirement Planning'!$J$48)*'Retirement Planning'!$I$49)+MIN(((SUM(Z364:Z375)-'Retirement Planning'!$I$53-'Retirement Planning'!$I$54))*'Retirement Planning'!$I$48,('Retirement Planning'!$J$48)*'Retirement Planning'!$I$48))+(IF((SUM(Z364:Z375)-'Retirement Planning'!$I$54-'Retirement Planning'!$I$61)&gt;'Retirement Planning'!$J$59,(SUM(Z364:Z375)-'Retirement Planning'!$I$54-'Retirement Planning'!$I$61-'Retirement Planning'!$J$59)*'Retirement Planning'!$I$60+'Retirement Planning'!$K$59,IF((SUM(Z364:Z375)-'Retirement Planning'!$I$54-'Retirement Planning'!$I$61)&gt;'Retirement Planning'!$J$58,(SUM(Z364:Z375)-'Retirement Planning'!$I$54-'Retirement Planning'!$I$61-'Retirement Planning'!$J$58)*'Retirement Planning'!$I$59+'Retirement Planning'!$K$58,IF((SUM(Z364:Z375)-'Retirement Planning'!$I$54-'Retirement Planning'!$I$61)&gt;'Retirement Planning'!$J$57,(SUM(Z364:Z375)-'Retirement Planning'!$I$54-'Retirement Planning'!$I$61-'Retirement Planning'!$J$57)*'Retirement Planning'!$I$58+'Retirement Planning'!$K$57,IF((SUM(Z364:Z375)-'Retirement Planning'!$I$54-'Retirement Planning'!$I$61)&gt;'Retirement Planning'!$J$56,(SUM(Z364:Z375)-'Retirement Planning'!$I$54-'Retirement Planning'!$I$61-'Retirement Planning'!$J$56)*'Retirement Planning'!$I$57+'Retirement Planning'!$K$56,(SUM(Z364:Z375)-'Retirement Planning'!$I$54-'Retirement Planning'!$I$61)*'Retirement Planning'!$I$56))))))/12,AA375)</f>
        <v>4130.4528664162617</v>
      </c>
      <c r="AB376" s="104">
        <f t="shared" ca="1" si="164"/>
        <v>0.2654824727656222</v>
      </c>
      <c r="AC376" s="7">
        <f>IF(B376&lt;65,'Retirement Planning'!$J$28,0)</f>
        <v>0</v>
      </c>
      <c r="AD376" s="7">
        <f>IF(B376&lt;65,'Retirement Planning'!$J$29/12,0)</f>
        <v>0</v>
      </c>
      <c r="AE376" s="22">
        <f>'Retirement Planning'!$J$31/12</f>
        <v>58.333333333333336</v>
      </c>
      <c r="AF376" s="22">
        <f>'Retirement Planning'!$J$32/12</f>
        <v>66.666666666666671</v>
      </c>
      <c r="AG376" s="7">
        <f>IF($B376&gt;64.9,'Retirement Planning'!$J$39/12,0)</f>
        <v>183.33333333333334</v>
      </c>
      <c r="AH376" s="7">
        <f>IF($B376&gt;64.9,'Retirement Planning'!$J$40/12,0)</f>
        <v>258.33333333333331</v>
      </c>
      <c r="AI376" s="7">
        <f>IF($B376&gt;64.9,'Retirement Planning'!$J$41/12,0)</f>
        <v>558.33333333333337</v>
      </c>
      <c r="AJ376" s="7">
        <f t="shared" ca="1" si="144"/>
        <v>316.66666666666663</v>
      </c>
      <c r="AK376" s="3" t="str">
        <f t="shared" ca="1" si="162"/>
        <v>N/A</v>
      </c>
      <c r="AL376" s="6" t="str">
        <f t="shared" ca="1" si="163"/>
        <v>N/A</v>
      </c>
      <c r="AM376" s="7">
        <f t="shared" ca="1" si="147"/>
        <v>-6.8212102632969618E-13</v>
      </c>
      <c r="AN376" s="7">
        <f t="shared" ca="1" si="148"/>
        <v>19827.001583929527</v>
      </c>
      <c r="AO376" s="7">
        <f t="shared" si="149"/>
        <v>1125</v>
      </c>
    </row>
    <row r="377" spans="1:41" x14ac:dyDescent="0.2">
      <c r="A377">
        <f t="shared" si="150"/>
        <v>50</v>
      </c>
      <c r="B377" s="5">
        <f t="shared" si="151"/>
        <v>86.9</v>
      </c>
      <c r="C377" s="56">
        <f t="shared" si="152"/>
        <v>57589</v>
      </c>
      <c r="D377" s="57">
        <f ca="1">IF(AND(B376&lt;59.5,OR(B377&gt;59.5,B377=59.5)),(D376-E376+J376-K376)*(1+'Retirement Planning'!$J$23/12),(D376-E376)*(1+'Retirement Planning'!$J$23/12))</f>
        <v>930365.29780735774</v>
      </c>
      <c r="E377" s="58">
        <f t="shared" ca="1" si="139"/>
        <v>1951.31536251117</v>
      </c>
      <c r="F377" s="57">
        <f ca="1">IF(AND(OR(B377&gt;59.5,B377=59.5),B376&lt;59.5),(F376-G376+L376-M376+N376-O376)*(1+'Retirement Planning'!$J$23/12),(F376-G376)*(1+'Retirement Planning'!$J$23/12))</f>
        <v>1131490.6946473613</v>
      </c>
      <c r="G377" s="58">
        <f ca="1">IF(AND($B$10&lt;55,B377&lt;59.5),'Retirement Planning'!$J$25,IF(OR(B377&gt;59.5,B377=59.5),MAX(0,MIN(F377,IF(D377&lt;2500,((Y377+AJ377+AA377))-X377,((Y377+AJ377+AA377)*'Retirement Planning'!$J$44)-X377))),0))</f>
        <v>14191.521282982918</v>
      </c>
      <c r="H377" s="255">
        <f ca="1">IF(MONTH(C377)=1,IF(B377&gt;69.5,F377/(INDEX('Retirement Planning'!D$1:D$264,(160+INT(B377))))/12,0),IF(F377=0,0,H376))</f>
        <v>12940.192978063233</v>
      </c>
      <c r="I377" s="262">
        <f t="shared" ca="1" si="140"/>
        <v>0</v>
      </c>
      <c r="J377" s="254">
        <f ca="1">IF(AND(B376&lt;59.5,OR(B377=59.5,B377&gt;59.5)),0,(J376-K376)*(1+'Retirement Planning'!$J$23/12))</f>
        <v>0</v>
      </c>
      <c r="K377" s="58">
        <f t="shared" ca="1" si="141"/>
        <v>0</v>
      </c>
      <c r="L377" s="57">
        <f>IF(AND(OR(B377&gt;59.5,B377=59.5),B376&lt;59.5),0,(L376-M376)*(1+'Retirement Planning'!$J$23/12))</f>
        <v>0</v>
      </c>
      <c r="M377" s="59">
        <f>IF(AND($B$10&lt;55,B377&lt;59.5),0,IF(B377&lt;59.5,MAX(0,MIN((($Y377+$AJ377+AA377)*'Retirement Planning'!$J$44)-$G377-$X377,L377)),0))</f>
        <v>0</v>
      </c>
      <c r="N377" s="57">
        <f ca="1">(N376-O376)*(1+'Retirement Planning'!$J$23/12)</f>
        <v>0</v>
      </c>
      <c r="O377" s="59">
        <f ca="1">IF(B377&gt;59.5,MAX(0,MIN((AA377+$Y377+$AJ377)*(IF(D377&lt;(MIN(E365:E376)+1),1,'Retirement Planning'!$J$44))-M377-$G377-$X377-(IF(D377&lt;(MIN(E365:E376)+1),D377,0)),N377)),0)</f>
        <v>0</v>
      </c>
      <c r="P377" s="57">
        <f t="shared" si="153"/>
        <v>0</v>
      </c>
      <c r="Q377" s="58">
        <f t="shared" si="154"/>
        <v>0</v>
      </c>
      <c r="R377" s="57">
        <f ca="1">(R376-S376-T376)*(1+'Retirement Planning'!$J$23/12)</f>
        <v>1289183.3126233271</v>
      </c>
      <c r="S377" s="58">
        <f t="shared" ca="1" si="155"/>
        <v>808.33333333333337</v>
      </c>
      <c r="T377" s="273">
        <f t="shared" ca="1" si="142"/>
        <v>-2.0463630789890885E-12</v>
      </c>
      <c r="U377" s="57">
        <f ca="1">(U376-V376)*(1+'Retirement Planning'!$J$23/12)</f>
        <v>759373.66443682427</v>
      </c>
      <c r="V377" s="24">
        <f ca="1">IF(AND($B$10&lt;55,B377&lt;59.5),MIN(U377,MAX(0,(Y377+AA377+AJ377-G377)*'Retirement Planning'!$J$45)),IF(B377&lt;59.5,(MIN(U377,MAX(0,((Y377+AA377+AJ377)-G377-M377)*'Retirement Planning'!$J$45))),MIN(U377,MAX(0,(Y377+AA377+AJ377-G377-M377-K377-X377)*'Retirement Planning'!$J$45))))</f>
        <v>1662.2316051021071</v>
      </c>
      <c r="W377" s="7">
        <f t="shared" ca="1" si="143"/>
        <v>4110412.9695148706</v>
      </c>
      <c r="X377" s="7">
        <f>(IF(B377&gt;'Retirement Planning'!$J$34,IF('Retirement Planning'!$J$34=70,'Retirement Planning'!$J$37/12,IF('Retirement Planning'!$J$34=67,'Retirement Planning'!$J$36/12,'Retirement Planning'!$J$35/12)),0))*'Retirement Planning'!$J$38</f>
        <v>1213.6000000000001</v>
      </c>
      <c r="Y377" s="7">
        <f ca="1">'Retirement Planning'!$F$35*((1+'Retirement Planning'!$J$24)^(YEAR('Projected Retirement Drawdown'!C377)-YEAR(TODAY())))</f>
        <v>14571.548717513266</v>
      </c>
      <c r="Z377" s="7">
        <f ca="1">G377+M377+O377+0.85*X377+V377*'Retirement Planning'!$J$46+T377</f>
        <v>16137.308665789074</v>
      </c>
      <c r="AA377" s="7">
        <f ca="1">IF(MONTH(C377)=1,(((MIN(MAX(0,((SUM(Z365:Z376)-'Retirement Planning'!$I$53-'Retirement Planning'!$I$54)-'Retirement Planning'!$J$51)*'Retirement Planning'!$I$52))))+(MIN(MAX(0,((SUM(Z365:Z376)-'Retirement Planning'!$I$53-'Retirement Planning'!$I$54)-'Retirement Planning'!$J$50)*'Retirement Planning'!$I$51),('Retirement Planning'!$J$51-'Retirement Planning'!$J$50)*'Retirement Planning'!$I$51))+(MIN(MAX(0,((SUM(Z365:Z376)-'Retirement Planning'!$I$53-'Retirement Planning'!$I$54)-'Retirement Planning'!$J$49)*'Retirement Planning'!$I$50),('Retirement Planning'!$J$50-'Retirement Planning'!$J$49)*'Retirement Planning'!$I$50)+MIN(MAX(0,((SUM(Z365:Z376)-'Retirement Planning'!$I$53-'Retirement Planning'!$I$54)-'Retirement Planning'!$J$48)*'Retirement Planning'!$I$49),('Retirement Planning'!$J$49-'Retirement Planning'!$J$48)*'Retirement Planning'!$I$49)+MIN(((SUM(Z365:Z376)-'Retirement Planning'!$I$53-'Retirement Planning'!$I$54))*'Retirement Planning'!$I$48,('Retirement Planning'!$J$48)*'Retirement Planning'!$I$48))+(IF((SUM(Z365:Z376)-'Retirement Planning'!$I$54-'Retirement Planning'!$I$61)&gt;'Retirement Planning'!$J$59,(SUM(Z365:Z376)-'Retirement Planning'!$I$54-'Retirement Planning'!$I$61-'Retirement Planning'!$J$59)*'Retirement Planning'!$I$60+'Retirement Planning'!$K$59,IF((SUM(Z365:Z376)-'Retirement Planning'!$I$54-'Retirement Planning'!$I$61)&gt;'Retirement Planning'!$J$58,(SUM(Z365:Z376)-'Retirement Planning'!$I$54-'Retirement Planning'!$I$61-'Retirement Planning'!$J$58)*'Retirement Planning'!$I$59+'Retirement Planning'!$K$58,IF((SUM(Z365:Z376)-'Retirement Planning'!$I$54-'Retirement Planning'!$I$61)&gt;'Retirement Planning'!$J$57,(SUM(Z365:Z376)-'Retirement Planning'!$I$54-'Retirement Planning'!$I$61-'Retirement Planning'!$J$57)*'Retirement Planning'!$I$58+'Retirement Planning'!$K$57,IF((SUM(Z365:Z376)-'Retirement Planning'!$I$54-'Retirement Planning'!$I$61)&gt;'Retirement Planning'!$J$56,(SUM(Z365:Z376)-'Retirement Planning'!$I$54-'Retirement Planning'!$I$61-'Retirement Planning'!$J$56)*'Retirement Planning'!$I$57+'Retirement Planning'!$K$56,(SUM(Z365:Z376)-'Retirement Planning'!$I$54-'Retirement Planning'!$I$61)*'Retirement Planning'!$I$56))))))/12,AA376)</f>
        <v>4130.4528664162617</v>
      </c>
      <c r="AB377" s="104">
        <f t="shared" ca="1" si="164"/>
        <v>0.2654824727656222</v>
      </c>
      <c r="AC377" s="7">
        <f>IF(B377&lt;65,'Retirement Planning'!$J$28,0)</f>
        <v>0</v>
      </c>
      <c r="AD377" s="7">
        <f>IF(B377&lt;65,'Retirement Planning'!$J$29/12,0)</f>
        <v>0</v>
      </c>
      <c r="AE377" s="22">
        <f>'Retirement Planning'!$J$31/12</f>
        <v>58.333333333333336</v>
      </c>
      <c r="AF377" s="22">
        <f>'Retirement Planning'!$J$32/12</f>
        <v>66.666666666666671</v>
      </c>
      <c r="AG377" s="7">
        <f>IF($B377&gt;64.9,'Retirement Planning'!$J$39/12,0)</f>
        <v>183.33333333333334</v>
      </c>
      <c r="AH377" s="7">
        <f>IF($B377&gt;64.9,'Retirement Planning'!$J$40/12,0)</f>
        <v>258.33333333333331</v>
      </c>
      <c r="AI377" s="7">
        <f>IF($B377&gt;64.9,'Retirement Planning'!$J$41/12,0)</f>
        <v>558.33333333333337</v>
      </c>
      <c r="AJ377" s="7">
        <f t="shared" ca="1" si="144"/>
        <v>316.66666666666663</v>
      </c>
      <c r="AK377" s="3" t="str">
        <f t="shared" ca="1" si="162"/>
        <v>N/A</v>
      </c>
      <c r="AL377" s="6" t="str">
        <f t="shared" ca="1" si="163"/>
        <v>N/A</v>
      </c>
      <c r="AM377" s="7">
        <f t="shared" ca="1" si="147"/>
        <v>-6.8212102632969618E-13</v>
      </c>
      <c r="AN377" s="7">
        <f t="shared" ca="1" si="148"/>
        <v>19827.001583929527</v>
      </c>
      <c r="AO377" s="7">
        <f t="shared" si="149"/>
        <v>1125</v>
      </c>
    </row>
    <row r="378" spans="1:41" x14ac:dyDescent="0.2">
      <c r="A378">
        <f t="shared" si="150"/>
        <v>50</v>
      </c>
      <c r="B378" s="5">
        <f t="shared" si="151"/>
        <v>87</v>
      </c>
      <c r="C378" s="56">
        <f t="shared" si="152"/>
        <v>57619</v>
      </c>
      <c r="D378" s="57">
        <f ca="1">IF(AND(B377&lt;59.5,OR(B378&gt;59.5,B378=59.5)),(D377-E377+J377-K377)*(1+'Retirement Planning'!$J$23/12),(D377-E377)*(1+'Retirement Planning'!$J$23/12))</f>
        <v>934990.24815383088</v>
      </c>
      <c r="E378" s="58">
        <f t="shared" ca="1" si="139"/>
        <v>1951.31536251117</v>
      </c>
      <c r="F378" s="57">
        <f ca="1">IF(AND(OR(B378&gt;59.5,B378=59.5),B377&lt;59.5),(F377-G377+L377-M377+N377-O377)*(1+'Retirement Planning'!$J$23/12),(F377-G377)*(1+'Retirement Planning'!$J$23/12))</f>
        <v>1125213.3758423759</v>
      </c>
      <c r="G378" s="58">
        <f ca="1">IF(AND($B$10&lt;55,B378&lt;59.5),'Retirement Planning'!$J$25,IF(OR(B378&gt;59.5,B378=59.5),MAX(0,MIN(F378,IF(D378&lt;2500,((Y378+AJ378+AA378))-X378,((Y378+AJ378+AA378)*'Retirement Planning'!$J$44)-X378))),0))</f>
        <v>14191.521282982918</v>
      </c>
      <c r="H378" s="255">
        <f ca="1">IF(MONTH(C378)=1,IF(B378&gt;69.5,F378/(INDEX('Retirement Planning'!D$1:D$264,(160+INT(B378))))/12,0),IF(F378=0,0,H377))</f>
        <v>12940.192978063233</v>
      </c>
      <c r="I378" s="262">
        <f t="shared" ca="1" si="140"/>
        <v>0</v>
      </c>
      <c r="J378" s="254">
        <f ca="1">IF(AND(B377&lt;59.5,OR(B378=59.5,B378&gt;59.5)),0,(J377-K377)*(1+'Retirement Planning'!$J$23/12))</f>
        <v>0</v>
      </c>
      <c r="K378" s="58">
        <f t="shared" ca="1" si="141"/>
        <v>0</v>
      </c>
      <c r="L378" s="57">
        <f>IF(AND(OR(B378&gt;59.5,B378=59.5),B377&lt;59.5),0,(L377-M377)*(1+'Retirement Planning'!$J$23/12))</f>
        <v>0</v>
      </c>
      <c r="M378" s="59">
        <f>IF(AND($B$10&lt;55,B378&lt;59.5),0,IF(B378&lt;59.5,MAX(0,MIN((($Y378+$AJ378+AA378)*'Retirement Planning'!$J$44)-$G378-$X378,L378)),0))</f>
        <v>0</v>
      </c>
      <c r="N378" s="57">
        <f ca="1">(N377-O377)*(1+'Retirement Planning'!$J$23/12)</f>
        <v>0</v>
      </c>
      <c r="O378" s="59">
        <f ca="1">IF(B378&gt;59.5,MAX(0,MIN((AA378+$Y378+$AJ378)*(IF(D378&lt;(MIN(E366:E377)+1),1,'Retirement Planning'!$J$44))-M378-$G378-$X378-(IF(D378&lt;(MIN(E366:E377)+1),D378,0)),N378)),0)</f>
        <v>0</v>
      </c>
      <c r="P378" s="57">
        <f t="shared" si="153"/>
        <v>0</v>
      </c>
      <c r="Q378" s="58">
        <f t="shared" si="154"/>
        <v>0</v>
      </c>
      <c r="R378" s="57">
        <f ca="1">(R377-S377-T377)*(1+'Retirement Planning'!$J$23/12)</f>
        <v>1297500.9687266313</v>
      </c>
      <c r="S378" s="58">
        <f t="shared" ca="1" si="155"/>
        <v>808.33333333333337</v>
      </c>
      <c r="T378" s="273">
        <f t="shared" ca="1" si="142"/>
        <v>-2.0463630789890885E-12</v>
      </c>
      <c r="U378" s="57">
        <f ca="1">(U377-V377)*(1+'Retirement Planning'!$J$23/12)</f>
        <v>763078.5554809469</v>
      </c>
      <c r="V378" s="24">
        <f ca="1">IF(AND($B$10&lt;55,B378&lt;59.5),MIN(U378,MAX(0,(Y378+AA378+AJ378-G378)*'Retirement Planning'!$J$45)),IF(B378&lt;59.5,(MIN(U378,MAX(0,((Y378+AA378+AJ378)-G378-M378)*'Retirement Planning'!$J$45))),MIN(U378,MAX(0,(Y378+AA378+AJ378-G378-M378-K378-X378)*'Retirement Planning'!$J$45))))</f>
        <v>1662.2316051021071</v>
      </c>
      <c r="W378" s="7">
        <f t="shared" ca="1" si="143"/>
        <v>4120783.1482037846</v>
      </c>
      <c r="X378" s="7">
        <f>(IF(B378&gt;'Retirement Planning'!$J$34,IF('Retirement Planning'!$J$34=70,'Retirement Planning'!$J$37/12,IF('Retirement Planning'!$J$34=67,'Retirement Planning'!$J$36/12,'Retirement Planning'!$J$35/12)),0))*'Retirement Planning'!$J$38</f>
        <v>1213.6000000000001</v>
      </c>
      <c r="Y378" s="7">
        <f ca="1">'Retirement Planning'!$F$35*((1+'Retirement Planning'!$J$24)^(YEAR('Projected Retirement Drawdown'!C378)-YEAR(TODAY())))</f>
        <v>14571.548717513266</v>
      </c>
      <c r="Z378" s="7">
        <f ca="1">G378+M378+O378+0.85*X378+V378*'Retirement Planning'!$J$46+T378</f>
        <v>16137.308665789074</v>
      </c>
      <c r="AA378" s="7">
        <f ca="1">IF(MONTH(C378)=1,(((MIN(MAX(0,((SUM(Z366:Z377)-'Retirement Planning'!$I$53-'Retirement Planning'!$I$54)-'Retirement Planning'!$J$51)*'Retirement Planning'!$I$52))))+(MIN(MAX(0,((SUM(Z366:Z377)-'Retirement Planning'!$I$53-'Retirement Planning'!$I$54)-'Retirement Planning'!$J$50)*'Retirement Planning'!$I$51),('Retirement Planning'!$J$51-'Retirement Planning'!$J$50)*'Retirement Planning'!$I$51))+(MIN(MAX(0,((SUM(Z366:Z377)-'Retirement Planning'!$I$53-'Retirement Planning'!$I$54)-'Retirement Planning'!$J$49)*'Retirement Planning'!$I$50),('Retirement Planning'!$J$50-'Retirement Planning'!$J$49)*'Retirement Planning'!$I$50)+MIN(MAX(0,((SUM(Z366:Z377)-'Retirement Planning'!$I$53-'Retirement Planning'!$I$54)-'Retirement Planning'!$J$48)*'Retirement Planning'!$I$49),('Retirement Planning'!$J$49-'Retirement Planning'!$J$48)*'Retirement Planning'!$I$49)+MIN(((SUM(Z366:Z377)-'Retirement Planning'!$I$53-'Retirement Planning'!$I$54))*'Retirement Planning'!$I$48,('Retirement Planning'!$J$48)*'Retirement Planning'!$I$48))+(IF((SUM(Z366:Z377)-'Retirement Planning'!$I$54-'Retirement Planning'!$I$61)&gt;'Retirement Planning'!$J$59,(SUM(Z366:Z377)-'Retirement Planning'!$I$54-'Retirement Planning'!$I$61-'Retirement Planning'!$J$59)*'Retirement Planning'!$I$60+'Retirement Planning'!$K$59,IF((SUM(Z366:Z377)-'Retirement Planning'!$I$54-'Retirement Planning'!$I$61)&gt;'Retirement Planning'!$J$58,(SUM(Z366:Z377)-'Retirement Planning'!$I$54-'Retirement Planning'!$I$61-'Retirement Planning'!$J$58)*'Retirement Planning'!$I$59+'Retirement Planning'!$K$58,IF((SUM(Z366:Z377)-'Retirement Planning'!$I$54-'Retirement Planning'!$I$61)&gt;'Retirement Planning'!$J$57,(SUM(Z366:Z377)-'Retirement Planning'!$I$54-'Retirement Planning'!$I$61-'Retirement Planning'!$J$57)*'Retirement Planning'!$I$58+'Retirement Planning'!$K$57,IF((SUM(Z366:Z377)-'Retirement Planning'!$I$54-'Retirement Planning'!$I$61)&gt;'Retirement Planning'!$J$56,(SUM(Z366:Z377)-'Retirement Planning'!$I$54-'Retirement Planning'!$I$61-'Retirement Planning'!$J$56)*'Retirement Planning'!$I$57+'Retirement Planning'!$K$56,(SUM(Z366:Z377)-'Retirement Planning'!$I$54-'Retirement Planning'!$I$61)*'Retirement Planning'!$I$56))))))/12,AA377)</f>
        <v>4130.4528664162617</v>
      </c>
      <c r="AB378" s="104">
        <f t="shared" ca="1" si="164"/>
        <v>0.2654824727656222</v>
      </c>
      <c r="AC378" s="7">
        <f>IF(B378&lt;65,'Retirement Planning'!$J$28,0)</f>
        <v>0</v>
      </c>
      <c r="AD378" s="7">
        <f>IF(B378&lt;65,'Retirement Planning'!$J$29/12,0)</f>
        <v>0</v>
      </c>
      <c r="AE378" s="22">
        <f>'Retirement Planning'!$J$31/12</f>
        <v>58.333333333333336</v>
      </c>
      <c r="AF378" s="22">
        <f>'Retirement Planning'!$J$32/12</f>
        <v>66.666666666666671</v>
      </c>
      <c r="AG378" s="7">
        <f>IF($B378&gt;64.9,'Retirement Planning'!$J$39/12,0)</f>
        <v>183.33333333333334</v>
      </c>
      <c r="AH378" s="7">
        <f>IF($B378&gt;64.9,'Retirement Planning'!$J$40/12,0)</f>
        <v>258.33333333333331</v>
      </c>
      <c r="AI378" s="7">
        <f>IF($B378&gt;64.9,'Retirement Planning'!$J$41/12,0)</f>
        <v>558.33333333333337</v>
      </c>
      <c r="AJ378" s="7">
        <f t="shared" ca="1" si="144"/>
        <v>316.66666666666663</v>
      </c>
      <c r="AK378" s="3" t="str">
        <f t="shared" ca="1" si="162"/>
        <v>N/A</v>
      </c>
      <c r="AL378" s="6" t="str">
        <f t="shared" ca="1" si="163"/>
        <v>N/A</v>
      </c>
      <c r="AM378" s="7">
        <f t="shared" ca="1" si="147"/>
        <v>-6.8212102632969618E-13</v>
      </c>
      <c r="AN378" s="7">
        <f t="shared" ca="1" si="148"/>
        <v>19827.001583929527</v>
      </c>
      <c r="AO378" s="7">
        <f t="shared" si="149"/>
        <v>1125</v>
      </c>
    </row>
    <row r="379" spans="1:41" x14ac:dyDescent="0.2">
      <c r="A379">
        <f t="shared" si="150"/>
        <v>50</v>
      </c>
      <c r="B379" s="5">
        <f t="shared" si="151"/>
        <v>87</v>
      </c>
      <c r="C379" s="56">
        <f t="shared" si="152"/>
        <v>57650</v>
      </c>
      <c r="D379" s="57">
        <f ca="1">IF(AND(B378&lt;59.5,OR(B379&gt;59.5,B379=59.5)),(D378-E378+J378-K378)*(1+'Retirement Planning'!$J$23/12),(D378-E378)*(1+'Retirement Planning'!$J$23/12))</f>
        <v>939647.95856525819</v>
      </c>
      <c r="E379" s="58">
        <f t="shared" ca="1" si="139"/>
        <v>1951.31536251117</v>
      </c>
      <c r="F379" s="57">
        <f ca="1">IF(AND(OR(B379&gt;59.5,B379=59.5),B378&lt;59.5),(F378-G378+L378-M378+N378-O378)*(1+'Retirement Planning'!$J$23/12),(F378-G378)*(1+'Retirement Planning'!$J$23/12))</f>
        <v>1118891.5926958553</v>
      </c>
      <c r="G379" s="58">
        <f ca="1">IF(AND($B$10&lt;55,B379&lt;59.5),'Retirement Planning'!$J$25,IF(OR(B379&gt;59.5,B379=59.5),MAX(0,MIN(F379,IF(D379&lt;2500,((Y379+AJ379+AA379))-X379,((Y379+AJ379+AA379)*'Retirement Planning'!$J$44)-X379))),0))</f>
        <v>14191.521282982918</v>
      </c>
      <c r="H379" s="255">
        <f ca="1">IF(MONTH(C379)=1,IF(B379&gt;69.5,F379/(INDEX('Retirement Planning'!D$1:D$264,(160+INT(B379))))/12,0),IF(F379=0,0,H378))</f>
        <v>12940.192978063233</v>
      </c>
      <c r="I379" s="262">
        <f t="shared" ca="1" si="140"/>
        <v>0</v>
      </c>
      <c r="J379" s="254">
        <f ca="1">IF(AND(B378&lt;59.5,OR(B379=59.5,B379&gt;59.5)),0,(J378-K378)*(1+'Retirement Planning'!$J$23/12))</f>
        <v>0</v>
      </c>
      <c r="K379" s="58">
        <f t="shared" ca="1" si="141"/>
        <v>0</v>
      </c>
      <c r="L379" s="57">
        <f>IF(AND(OR(B379&gt;59.5,B379=59.5),B378&lt;59.5),0,(L378-M378)*(1+'Retirement Planning'!$J$23/12))</f>
        <v>0</v>
      </c>
      <c r="M379" s="59">
        <f>IF(AND($B$10&lt;55,B379&lt;59.5),0,IF(B379&lt;59.5,MAX(0,MIN((($Y379+$AJ379+AA379)*'Retirement Planning'!$J$44)-$G379-$X379,L379)),0))</f>
        <v>0</v>
      </c>
      <c r="N379" s="57">
        <f ca="1">(N378-O378)*(1+'Retirement Planning'!$J$23/12)</f>
        <v>0</v>
      </c>
      <c r="O379" s="59">
        <f ca="1">IF(B379&gt;59.5,MAX(0,MIN((AA379+$Y379+$AJ379)*(IF(D379&lt;(MIN(E367:E378)+1),1,'Retirement Planning'!$J$44))-M379-$G379-$X379-(IF(D379&lt;(MIN(E367:E378)+1),D379,0)),N379)),0)</f>
        <v>0</v>
      </c>
      <c r="P379" s="57">
        <f t="shared" si="153"/>
        <v>0</v>
      </c>
      <c r="Q379" s="58">
        <f t="shared" si="154"/>
        <v>0</v>
      </c>
      <c r="R379" s="57">
        <f ca="1">(R378-S378-T378)*(1+'Retirement Planning'!$J$23/12)</f>
        <v>1305877.5415606671</v>
      </c>
      <c r="S379" s="58">
        <f t="shared" ca="1" si="155"/>
        <v>808.33333333333337</v>
      </c>
      <c r="T379" s="273">
        <f t="shared" ca="1" si="142"/>
        <v>-2.0463630789890885E-12</v>
      </c>
      <c r="U379" s="57">
        <f ca="1">(U378-V378)*(1+'Retirement Planning'!$J$23/12)</f>
        <v>766809.68950329872</v>
      </c>
      <c r="V379" s="24">
        <f ca="1">IF(AND($B$10&lt;55,B379&lt;59.5),MIN(U379,MAX(0,(Y379+AA379+AJ379-G379)*'Retirement Planning'!$J$45)),IF(B379&lt;59.5,(MIN(U379,MAX(0,((Y379+AA379+AJ379)-G379-M379)*'Retirement Planning'!$J$45))),MIN(U379,MAX(0,(Y379+AA379+AJ379-G379-M379-K379-X379)*'Retirement Planning'!$J$45))))</f>
        <v>1662.2316051021071</v>
      </c>
      <c r="W379" s="7">
        <f t="shared" ca="1" si="143"/>
        <v>4131226.7823250792</v>
      </c>
      <c r="X379" s="7">
        <f>(IF(B379&gt;'Retirement Planning'!$J$34,IF('Retirement Planning'!$J$34=70,'Retirement Planning'!$J$37/12,IF('Retirement Planning'!$J$34=67,'Retirement Planning'!$J$36/12,'Retirement Planning'!$J$35/12)),0))*'Retirement Planning'!$J$38</f>
        <v>1213.6000000000001</v>
      </c>
      <c r="Y379" s="7">
        <f ca="1">'Retirement Planning'!$F$35*((1+'Retirement Planning'!$J$24)^(YEAR('Projected Retirement Drawdown'!C379)-YEAR(TODAY())))</f>
        <v>14571.548717513266</v>
      </c>
      <c r="Z379" s="7">
        <f ca="1">G379+M379+O379+0.85*X379+V379*'Retirement Planning'!$J$46+T379</f>
        <v>16137.308665789074</v>
      </c>
      <c r="AA379" s="7">
        <f ca="1">IF(MONTH(C379)=1,(((MIN(MAX(0,((SUM(Z367:Z378)-'Retirement Planning'!$I$53-'Retirement Planning'!$I$54)-'Retirement Planning'!$J$51)*'Retirement Planning'!$I$52))))+(MIN(MAX(0,((SUM(Z367:Z378)-'Retirement Planning'!$I$53-'Retirement Planning'!$I$54)-'Retirement Planning'!$J$50)*'Retirement Planning'!$I$51),('Retirement Planning'!$J$51-'Retirement Planning'!$J$50)*'Retirement Planning'!$I$51))+(MIN(MAX(0,((SUM(Z367:Z378)-'Retirement Planning'!$I$53-'Retirement Planning'!$I$54)-'Retirement Planning'!$J$49)*'Retirement Planning'!$I$50),('Retirement Planning'!$J$50-'Retirement Planning'!$J$49)*'Retirement Planning'!$I$50)+MIN(MAX(0,((SUM(Z367:Z378)-'Retirement Planning'!$I$53-'Retirement Planning'!$I$54)-'Retirement Planning'!$J$48)*'Retirement Planning'!$I$49),('Retirement Planning'!$J$49-'Retirement Planning'!$J$48)*'Retirement Planning'!$I$49)+MIN(((SUM(Z367:Z378)-'Retirement Planning'!$I$53-'Retirement Planning'!$I$54))*'Retirement Planning'!$I$48,('Retirement Planning'!$J$48)*'Retirement Planning'!$I$48))+(IF((SUM(Z367:Z378)-'Retirement Planning'!$I$54-'Retirement Planning'!$I$61)&gt;'Retirement Planning'!$J$59,(SUM(Z367:Z378)-'Retirement Planning'!$I$54-'Retirement Planning'!$I$61-'Retirement Planning'!$J$59)*'Retirement Planning'!$I$60+'Retirement Planning'!$K$59,IF((SUM(Z367:Z378)-'Retirement Planning'!$I$54-'Retirement Planning'!$I$61)&gt;'Retirement Planning'!$J$58,(SUM(Z367:Z378)-'Retirement Planning'!$I$54-'Retirement Planning'!$I$61-'Retirement Planning'!$J$58)*'Retirement Planning'!$I$59+'Retirement Planning'!$K$58,IF((SUM(Z367:Z378)-'Retirement Planning'!$I$54-'Retirement Planning'!$I$61)&gt;'Retirement Planning'!$J$57,(SUM(Z367:Z378)-'Retirement Planning'!$I$54-'Retirement Planning'!$I$61-'Retirement Planning'!$J$57)*'Retirement Planning'!$I$58+'Retirement Planning'!$K$57,IF((SUM(Z367:Z378)-'Retirement Planning'!$I$54-'Retirement Planning'!$I$61)&gt;'Retirement Planning'!$J$56,(SUM(Z367:Z378)-'Retirement Planning'!$I$54-'Retirement Planning'!$I$61-'Retirement Planning'!$J$56)*'Retirement Planning'!$I$57+'Retirement Planning'!$K$56,(SUM(Z367:Z378)-'Retirement Planning'!$I$54-'Retirement Planning'!$I$61)*'Retirement Planning'!$I$56))))))/12,AA378)</f>
        <v>4130.4528664162617</v>
      </c>
      <c r="AB379" s="104">
        <f t="shared" ca="1" si="164"/>
        <v>0.2654824727656222</v>
      </c>
      <c r="AC379" s="7">
        <f>IF(B379&lt;65,'Retirement Planning'!$J$28,0)</f>
        <v>0</v>
      </c>
      <c r="AD379" s="7">
        <f>IF(B379&lt;65,'Retirement Planning'!$J$29/12,0)</f>
        <v>0</v>
      </c>
      <c r="AE379" s="22">
        <f>'Retirement Planning'!$J$31/12</f>
        <v>58.333333333333336</v>
      </c>
      <c r="AF379" s="22">
        <f>'Retirement Planning'!$J$32/12</f>
        <v>66.666666666666671</v>
      </c>
      <c r="AG379" s="7">
        <f>IF($B379&gt;64.9,'Retirement Planning'!$J$39/12,0)</f>
        <v>183.33333333333334</v>
      </c>
      <c r="AH379" s="7">
        <f>IF($B379&gt;64.9,'Retirement Planning'!$J$40/12,0)</f>
        <v>258.33333333333331</v>
      </c>
      <c r="AI379" s="7">
        <f>IF($B379&gt;64.9,'Retirement Planning'!$J$41/12,0)</f>
        <v>558.33333333333337</v>
      </c>
      <c r="AJ379" s="7">
        <f t="shared" ca="1" si="144"/>
        <v>316.66666666666663</v>
      </c>
      <c r="AK379" s="3" t="str">
        <f t="shared" ca="1" si="162"/>
        <v>N/A</v>
      </c>
      <c r="AL379" s="6" t="str">
        <f t="shared" ca="1" si="163"/>
        <v>N/A</v>
      </c>
      <c r="AM379" s="7">
        <f t="shared" ca="1" si="147"/>
        <v>-6.8212102632969618E-13</v>
      </c>
      <c r="AN379" s="7">
        <f t="shared" ca="1" si="148"/>
        <v>19827.001583929527</v>
      </c>
      <c r="AO379" s="7">
        <f t="shared" si="149"/>
        <v>1125</v>
      </c>
    </row>
    <row r="380" spans="1:41" x14ac:dyDescent="0.2">
      <c r="A380">
        <f t="shared" si="150"/>
        <v>50</v>
      </c>
      <c r="B380" s="5">
        <f t="shared" si="151"/>
        <v>87.1</v>
      </c>
      <c r="C380" s="56">
        <f t="shared" si="152"/>
        <v>57680</v>
      </c>
      <c r="D380" s="57">
        <f ca="1">IF(AND(B379&lt;59.5,OR(B380&gt;59.5,B380=59.5)),(D379-E379+J379-K379)*(1+'Retirement Planning'!$J$23/12),(D379-E379)*(1+'Retirement Planning'!$J$23/12))</f>
        <v>944338.66109209973</v>
      </c>
      <c r="E380" s="58">
        <f t="shared" ca="1" si="139"/>
        <v>1951.31536251117</v>
      </c>
      <c r="F380" s="57">
        <f ca="1">IF(AND(OR(B380&gt;59.5,B380=59.5),B379&lt;59.5),(F379-G379+L379-M379+N379-O379)*(1+'Retirement Planning'!$J$23/12),(F379-G379)*(1+'Retirement Planning'!$J$23/12))</f>
        <v>1112525.0302520469</v>
      </c>
      <c r="G380" s="58">
        <f ca="1">IF(AND($B$10&lt;55,B380&lt;59.5),'Retirement Planning'!$J$25,IF(OR(B380&gt;59.5,B380=59.5),MAX(0,MIN(F380,IF(D380&lt;2500,((Y380+AJ380+AA380))-X380,((Y380+AJ380+AA380)*'Retirement Planning'!$J$44)-X380))),0))</f>
        <v>14191.521282982918</v>
      </c>
      <c r="H380" s="255">
        <f ca="1">IF(MONTH(C380)=1,IF(B380&gt;69.5,F380/(INDEX('Retirement Planning'!D$1:D$264,(160+INT(B380))))/12,0),IF(F380=0,0,H379))</f>
        <v>12940.192978063233</v>
      </c>
      <c r="I380" s="262">
        <f t="shared" ca="1" si="140"/>
        <v>0</v>
      </c>
      <c r="J380" s="254">
        <f ca="1">IF(AND(B379&lt;59.5,OR(B380=59.5,B380&gt;59.5)),0,(J379-K379)*(1+'Retirement Planning'!$J$23/12))</f>
        <v>0</v>
      </c>
      <c r="K380" s="58">
        <f t="shared" ca="1" si="141"/>
        <v>0</v>
      </c>
      <c r="L380" s="57">
        <f>IF(AND(OR(B380&gt;59.5,B380=59.5),B379&lt;59.5),0,(L379-M379)*(1+'Retirement Planning'!$J$23/12))</f>
        <v>0</v>
      </c>
      <c r="M380" s="59">
        <f>IF(AND($B$10&lt;55,B380&lt;59.5),0,IF(B380&lt;59.5,MAX(0,MIN((($Y380+$AJ380+AA380)*'Retirement Planning'!$J$44)-$G380-$X380,L380)),0))</f>
        <v>0</v>
      </c>
      <c r="N380" s="57">
        <f ca="1">(N379-O379)*(1+'Retirement Planning'!$J$23/12)</f>
        <v>0</v>
      </c>
      <c r="O380" s="59">
        <f ca="1">IF(B380&gt;59.5,MAX(0,MIN((AA380+$Y380+$AJ380)*(IF(D380&lt;(MIN(E368:E379)+1),1,'Retirement Planning'!$J$44))-M380-$G380-$X380-(IF(D380&lt;(MIN(E368:E379)+1),D380,0)),N380)),0)</f>
        <v>0</v>
      </c>
      <c r="P380" s="57">
        <f t="shared" si="153"/>
        <v>0</v>
      </c>
      <c r="Q380" s="58">
        <f t="shared" si="154"/>
        <v>0</v>
      </c>
      <c r="R380" s="57">
        <f ca="1">(R379-S379-T379)*(1+'Retirement Planning'!$J$23/12)</f>
        <v>1314313.4484522773</v>
      </c>
      <c r="S380" s="58">
        <f t="shared" ca="1" si="155"/>
        <v>808.33333333333337</v>
      </c>
      <c r="T380" s="273">
        <f t="shared" ca="1" si="142"/>
        <v>-2.0463630789890885E-12</v>
      </c>
      <c r="U380" s="57">
        <f ca="1">(U379-V379)*(1+'Retirement Planning'!$J$23/12)</f>
        <v>770567.25239164219</v>
      </c>
      <c r="V380" s="24">
        <f ca="1">IF(AND($B$10&lt;55,B380&lt;59.5),MIN(U380,MAX(0,(Y380+AA380+AJ380-G380)*'Retirement Planning'!$J$45)),IF(B380&lt;59.5,(MIN(U380,MAX(0,((Y380+AA380+AJ380)-G380-M380)*'Retirement Planning'!$J$45))),MIN(U380,MAX(0,(Y380+AA380+AJ380-G380-M380-K380-X380)*'Retirement Planning'!$J$45))))</f>
        <v>1662.2316051021071</v>
      </c>
      <c r="W380" s="7">
        <f t="shared" ca="1" si="143"/>
        <v>4141744.3921880657</v>
      </c>
      <c r="X380" s="7">
        <f>(IF(B380&gt;'Retirement Planning'!$J$34,IF('Retirement Planning'!$J$34=70,'Retirement Planning'!$J$37/12,IF('Retirement Planning'!$J$34=67,'Retirement Planning'!$J$36/12,'Retirement Planning'!$J$35/12)),0))*'Retirement Planning'!$J$38</f>
        <v>1213.6000000000001</v>
      </c>
      <c r="Y380" s="7">
        <f ca="1">'Retirement Planning'!$F$35*((1+'Retirement Planning'!$J$24)^(YEAR('Projected Retirement Drawdown'!C380)-YEAR(TODAY())))</f>
        <v>14571.548717513266</v>
      </c>
      <c r="Z380" s="7">
        <f ca="1">G380+M380+O380+0.85*X380+V380*'Retirement Planning'!$J$46+T380</f>
        <v>16137.308665789074</v>
      </c>
      <c r="AA380" s="7">
        <f ca="1">IF(MONTH(C380)=1,(((MIN(MAX(0,((SUM(Z368:Z379)-'Retirement Planning'!$I$53-'Retirement Planning'!$I$54)-'Retirement Planning'!$J$51)*'Retirement Planning'!$I$52))))+(MIN(MAX(0,((SUM(Z368:Z379)-'Retirement Planning'!$I$53-'Retirement Planning'!$I$54)-'Retirement Planning'!$J$50)*'Retirement Planning'!$I$51),('Retirement Planning'!$J$51-'Retirement Planning'!$J$50)*'Retirement Planning'!$I$51))+(MIN(MAX(0,((SUM(Z368:Z379)-'Retirement Planning'!$I$53-'Retirement Planning'!$I$54)-'Retirement Planning'!$J$49)*'Retirement Planning'!$I$50),('Retirement Planning'!$J$50-'Retirement Planning'!$J$49)*'Retirement Planning'!$I$50)+MIN(MAX(0,((SUM(Z368:Z379)-'Retirement Planning'!$I$53-'Retirement Planning'!$I$54)-'Retirement Planning'!$J$48)*'Retirement Planning'!$I$49),('Retirement Planning'!$J$49-'Retirement Planning'!$J$48)*'Retirement Planning'!$I$49)+MIN(((SUM(Z368:Z379)-'Retirement Planning'!$I$53-'Retirement Planning'!$I$54))*'Retirement Planning'!$I$48,('Retirement Planning'!$J$48)*'Retirement Planning'!$I$48))+(IF((SUM(Z368:Z379)-'Retirement Planning'!$I$54-'Retirement Planning'!$I$61)&gt;'Retirement Planning'!$J$59,(SUM(Z368:Z379)-'Retirement Planning'!$I$54-'Retirement Planning'!$I$61-'Retirement Planning'!$J$59)*'Retirement Planning'!$I$60+'Retirement Planning'!$K$59,IF((SUM(Z368:Z379)-'Retirement Planning'!$I$54-'Retirement Planning'!$I$61)&gt;'Retirement Planning'!$J$58,(SUM(Z368:Z379)-'Retirement Planning'!$I$54-'Retirement Planning'!$I$61-'Retirement Planning'!$J$58)*'Retirement Planning'!$I$59+'Retirement Planning'!$K$58,IF((SUM(Z368:Z379)-'Retirement Planning'!$I$54-'Retirement Planning'!$I$61)&gt;'Retirement Planning'!$J$57,(SUM(Z368:Z379)-'Retirement Planning'!$I$54-'Retirement Planning'!$I$61-'Retirement Planning'!$J$57)*'Retirement Planning'!$I$58+'Retirement Planning'!$K$57,IF((SUM(Z368:Z379)-'Retirement Planning'!$I$54-'Retirement Planning'!$I$61)&gt;'Retirement Planning'!$J$56,(SUM(Z368:Z379)-'Retirement Planning'!$I$54-'Retirement Planning'!$I$61-'Retirement Planning'!$J$56)*'Retirement Planning'!$I$57+'Retirement Planning'!$K$56,(SUM(Z368:Z379)-'Retirement Planning'!$I$54-'Retirement Planning'!$I$61)*'Retirement Planning'!$I$56))))))/12,AA379)</f>
        <v>4130.4528664162617</v>
      </c>
      <c r="AB380" s="104">
        <f t="shared" ca="1" si="164"/>
        <v>0.2654824727656222</v>
      </c>
      <c r="AC380" s="7">
        <f>IF(B380&lt;65,'Retirement Planning'!$J$28,0)</f>
        <v>0</v>
      </c>
      <c r="AD380" s="7">
        <f>IF(B380&lt;65,'Retirement Planning'!$J$29/12,0)</f>
        <v>0</v>
      </c>
      <c r="AE380" s="22">
        <f>'Retirement Planning'!$J$31/12</f>
        <v>58.333333333333336</v>
      </c>
      <c r="AF380" s="22">
        <f>'Retirement Planning'!$J$32/12</f>
        <v>66.666666666666671</v>
      </c>
      <c r="AG380" s="7">
        <f>IF($B380&gt;64.9,'Retirement Planning'!$J$39/12,0)</f>
        <v>183.33333333333334</v>
      </c>
      <c r="AH380" s="7">
        <f>IF($B380&gt;64.9,'Retirement Planning'!$J$40/12,0)</f>
        <v>258.33333333333331</v>
      </c>
      <c r="AI380" s="7">
        <f>IF($B380&gt;64.9,'Retirement Planning'!$J$41/12,0)</f>
        <v>558.33333333333337</v>
      </c>
      <c r="AJ380" s="7">
        <f t="shared" ca="1" si="144"/>
        <v>316.66666666666663</v>
      </c>
      <c r="AK380" s="3" t="str">
        <f t="shared" ca="1" si="162"/>
        <v>N/A</v>
      </c>
      <c r="AL380" s="6" t="str">
        <f t="shared" ca="1" si="163"/>
        <v>N/A</v>
      </c>
      <c r="AM380" s="7">
        <f t="shared" ca="1" si="147"/>
        <v>-6.8212102632969618E-13</v>
      </c>
      <c r="AN380" s="7">
        <f t="shared" ca="1" si="148"/>
        <v>19827.001583929527</v>
      </c>
      <c r="AO380" s="7">
        <f t="shared" si="149"/>
        <v>1125</v>
      </c>
    </row>
    <row r="381" spans="1:41" x14ac:dyDescent="0.2">
      <c r="A381">
        <f t="shared" si="150"/>
        <v>50</v>
      </c>
      <c r="B381" s="5">
        <f t="shared" si="151"/>
        <v>87.2</v>
      </c>
      <c r="C381" s="56">
        <f t="shared" si="152"/>
        <v>57711</v>
      </c>
      <c r="D381" s="57">
        <f ca="1">IF(AND(B380&lt;59.5,OR(B381&gt;59.5,B381=59.5)),(D380-E380+J380-K380)*(1+'Retirement Planning'!$J$23/12),(D380-E380)*(1+'Retirement Planning'!$J$23/12))</f>
        <v>949062.58942850644</v>
      </c>
      <c r="E381" s="58">
        <f t="shared" ca="1" si="139"/>
        <v>2022.9729889698356</v>
      </c>
      <c r="F381" s="57">
        <f ca="1">IF(AND(OR(B381&gt;59.5,B381=59.5),B380&lt;59.5),(F380-G380+L380-M380+N380-O380)*(1+'Retirement Planning'!$J$23/12),(F380-G380)*(1+'Retirement Planning'!$J$23/12))</f>
        <v>1106113.3713242614</v>
      </c>
      <c r="G381" s="58">
        <f ca="1">IF(AND($B$10&lt;55,B381&lt;59.5),'Retirement Planning'!$J$25,IF(OR(B381&gt;59.5,B381=59.5),MAX(0,MIN(F381,IF(D381&lt;2500,((Y381+AJ381+AA381))-X381,((Y381+AJ381+AA381)*'Retirement Planning'!$J$44)-X381))),0))</f>
        <v>14757.239386603938</v>
      </c>
      <c r="H381" s="255">
        <f ca="1">IF(MONTH(C381)=1,IF(B381&gt;69.5,F381/(INDEX('Retirement Planning'!D$1:D$264,(160+INT(B381))))/12,0),IF(F381=0,0,H380))</f>
        <v>12982.551306622787</v>
      </c>
      <c r="I381" s="262">
        <f t="shared" ca="1" si="140"/>
        <v>0</v>
      </c>
      <c r="J381" s="254">
        <f ca="1">IF(AND(B380&lt;59.5,OR(B381=59.5,B381&gt;59.5)),0,(J380-K380)*(1+'Retirement Planning'!$J$23/12))</f>
        <v>0</v>
      </c>
      <c r="K381" s="58">
        <f t="shared" ca="1" si="141"/>
        <v>0</v>
      </c>
      <c r="L381" s="57">
        <f>IF(AND(OR(B381&gt;59.5,B381=59.5),B380&lt;59.5),0,(L380-M380)*(1+'Retirement Planning'!$J$23/12))</f>
        <v>0</v>
      </c>
      <c r="M381" s="59">
        <f>IF(AND($B$10&lt;55,B381&lt;59.5),0,IF(B381&lt;59.5,MAX(0,MIN((($Y381+$AJ381+AA381)*'Retirement Planning'!$J$44)-$G381-$X381,L381)),0))</f>
        <v>0</v>
      </c>
      <c r="N381" s="57">
        <f ca="1">(N380-O380)*(1+'Retirement Planning'!$J$23/12)</f>
        <v>0</v>
      </c>
      <c r="O381" s="59">
        <f ca="1">IF(B381&gt;59.5,MAX(0,MIN((AA381+$Y381+$AJ381)*(IF(D381&lt;(MIN(E369:E380)+1),1,'Retirement Planning'!$J$44))-M381-$G381-$X381-(IF(D381&lt;(MIN(E369:E380)+1),D381,0)),N381)),0)</f>
        <v>0</v>
      </c>
      <c r="P381" s="57">
        <f t="shared" si="153"/>
        <v>0</v>
      </c>
      <c r="Q381" s="58">
        <f t="shared" si="154"/>
        <v>0</v>
      </c>
      <c r="R381" s="57">
        <f ca="1">(R380-S380-T380)*(1+'Retirement Planning'!$J$23/12)</f>
        <v>1322809.10968437</v>
      </c>
      <c r="S381" s="58">
        <f t="shared" ca="1" si="155"/>
        <v>808.33333333333337</v>
      </c>
      <c r="T381" s="273">
        <f t="shared" ca="1" si="142"/>
        <v>-3.1832314562052488E-12</v>
      </c>
      <c r="U381" s="57">
        <f ca="1">(U380-V380)*(1+'Retirement Planning'!$J$23/12)</f>
        <v>774351.43135044479</v>
      </c>
      <c r="V381" s="24">
        <f ca="1">IF(AND($B$10&lt;55,B381&lt;59.5),MIN(U381,MAX(0,(Y381+AA381+AJ381-G381)*'Retirement Planning'!$J$45)),IF(B381&lt;59.5,(MIN(U381,MAX(0,((Y381+AA381+AJ381)-G381-M381)*'Retirement Planning'!$J$45))),MIN(U381,MAX(0,(Y381+AA381+AJ381-G381-M381-K381-X381)*'Retirement Planning'!$J$45))))</f>
        <v>1723.2732869002286</v>
      </c>
      <c r="W381" s="7">
        <f t="shared" ca="1" si="143"/>
        <v>4152336.5017875829</v>
      </c>
      <c r="X381" s="7">
        <f>(IF(B381&gt;'Retirement Planning'!$J$34,IF('Retirement Planning'!$J$34=70,'Retirement Planning'!$J$37/12,IF('Retirement Planning'!$J$34=67,'Retirement Planning'!$J$36/12,'Retirement Planning'!$J$35/12)),0))*'Retirement Planning'!$J$38</f>
        <v>1213.6000000000001</v>
      </c>
      <c r="Y381" s="7">
        <f ca="1">'Retirement Planning'!$F$35*((1+'Retirement Planning'!$J$24)^(YEAR('Projected Retirement Drawdown'!C381)-YEAR(TODAY())))</f>
        <v>15081.552922626232</v>
      </c>
      <c r="Z381" s="7">
        <f ca="1">G381+M381+O381+0.85*X381+V381*'Retirement Planning'!$J$46+T381</f>
        <v>16736.599694399061</v>
      </c>
      <c r="AA381" s="7">
        <f ca="1">IF(MONTH(C381)=1,(((MIN(MAX(0,((SUM(Z369:Z380)-'Retirement Planning'!$I$53-'Retirement Planning'!$I$54)-'Retirement Planning'!$J$51)*'Retirement Planning'!$I$52))))+(MIN(MAX(0,((SUM(Z369:Z380)-'Retirement Planning'!$I$53-'Retirement Planning'!$I$54)-'Retirement Planning'!$J$50)*'Retirement Planning'!$I$51),('Retirement Planning'!$J$51-'Retirement Planning'!$J$50)*'Retirement Planning'!$I$51))+(MIN(MAX(0,((SUM(Z369:Z380)-'Retirement Planning'!$I$53-'Retirement Planning'!$I$54)-'Retirement Planning'!$J$49)*'Retirement Planning'!$I$50),('Retirement Planning'!$J$50-'Retirement Planning'!$J$49)*'Retirement Planning'!$I$50)+MIN(MAX(0,((SUM(Z369:Z380)-'Retirement Planning'!$I$53-'Retirement Planning'!$I$54)-'Retirement Planning'!$J$48)*'Retirement Planning'!$I$49),('Retirement Planning'!$J$49-'Retirement Planning'!$J$48)*'Retirement Planning'!$I$49)+MIN(((SUM(Z369:Z380)-'Retirement Planning'!$I$53-'Retirement Planning'!$I$54))*'Retirement Planning'!$I$48,('Retirement Planning'!$J$48)*'Retirement Planning'!$I$48))+(IF((SUM(Z369:Z380)-'Retirement Planning'!$I$54-'Retirement Planning'!$I$61)&gt;'Retirement Planning'!$J$59,(SUM(Z369:Z380)-'Retirement Planning'!$I$54-'Retirement Planning'!$I$61-'Retirement Planning'!$J$59)*'Retirement Planning'!$I$60+'Retirement Planning'!$K$59,IF((SUM(Z369:Z380)-'Retirement Planning'!$I$54-'Retirement Planning'!$I$61)&gt;'Retirement Planning'!$J$58,(SUM(Z369:Z380)-'Retirement Planning'!$I$54-'Retirement Planning'!$I$61-'Retirement Planning'!$J$58)*'Retirement Planning'!$I$59+'Retirement Planning'!$K$58,IF((SUM(Z369:Z380)-'Retirement Planning'!$I$54-'Retirement Planning'!$I$61)&gt;'Retirement Planning'!$J$57,(SUM(Z369:Z380)-'Retirement Planning'!$I$54-'Retirement Planning'!$I$61-'Retirement Planning'!$J$57)*'Retirement Planning'!$I$58+'Retirement Planning'!$K$57,IF((SUM(Z369:Z380)-'Retirement Planning'!$I$54-'Retirement Planning'!$I$61)&gt;'Retirement Planning'!$J$56,(SUM(Z369:Z380)-'Retirement Planning'!$I$54-'Retirement Planning'!$I$61-'Retirement Planning'!$J$56)*'Retirement Planning'!$I$57+'Retirement Planning'!$K$56,(SUM(Z369:Z380)-'Retirement Planning'!$I$54-'Retirement Planning'!$I$61)*'Retirement Planning'!$I$56))))))/12,AA380)</f>
        <v>4318.8660731811005</v>
      </c>
      <c r="AB381" s="104">
        <f t="shared" ref="AB381" ca="1" si="167">SUM(AA381:AA392)/SUM(Z369:Z380)</f>
        <v>0.26763236439401145</v>
      </c>
      <c r="AC381" s="7">
        <f>IF(B381&lt;65,'Retirement Planning'!$J$28,0)</f>
        <v>0</v>
      </c>
      <c r="AD381" s="7">
        <f>IF(B381&lt;65,'Retirement Planning'!$J$29/12,0)</f>
        <v>0</v>
      </c>
      <c r="AE381" s="22">
        <f>'Retirement Planning'!$J$31/12</f>
        <v>58.333333333333336</v>
      </c>
      <c r="AF381" s="22">
        <f>'Retirement Planning'!$J$32/12</f>
        <v>66.666666666666671</v>
      </c>
      <c r="AG381" s="7">
        <f>IF($B381&gt;64.9,'Retirement Planning'!$J$39/12,0)</f>
        <v>183.33333333333334</v>
      </c>
      <c r="AH381" s="7">
        <f>IF($B381&gt;64.9,'Retirement Planning'!$J$40/12,0)</f>
        <v>258.33333333333331</v>
      </c>
      <c r="AI381" s="7">
        <f>IF($B381&gt;64.9,'Retirement Planning'!$J$41/12,0)</f>
        <v>558.33333333333337</v>
      </c>
      <c r="AJ381" s="7">
        <f t="shared" ca="1" si="144"/>
        <v>316.66666666666663</v>
      </c>
      <c r="AK381" s="3" t="str">
        <f t="shared" ca="1" si="162"/>
        <v>N/A</v>
      </c>
      <c r="AL381" s="6" t="str">
        <f t="shared" ca="1" si="163"/>
        <v>N/A</v>
      </c>
      <c r="AM381" s="7">
        <f t="shared" ca="1" si="147"/>
        <v>-6.8212102632969618E-13</v>
      </c>
      <c r="AN381" s="7">
        <f t="shared" ca="1" si="148"/>
        <v>20525.418995807333</v>
      </c>
      <c r="AO381" s="7">
        <f t="shared" si="149"/>
        <v>1125</v>
      </c>
    </row>
    <row r="382" spans="1:41" x14ac:dyDescent="0.2">
      <c r="A382">
        <f t="shared" si="150"/>
        <v>50</v>
      </c>
      <c r="B382" s="5">
        <f t="shared" si="151"/>
        <v>87.3</v>
      </c>
      <c r="C382" s="56">
        <f t="shared" si="152"/>
        <v>57742</v>
      </c>
      <c r="D382" s="57">
        <f ca="1">IF(AND(B381&lt;59.5,OR(B382&gt;59.5,B382=59.5)),(D381-E381+J381-K381)*(1+'Retirement Planning'!$J$23/12),(D381-E381)*(1+'Retirement Planning'!$J$23/12))</f>
        <v>953747.81372264994</v>
      </c>
      <c r="E382" s="58">
        <f t="shared" ca="1" si="139"/>
        <v>2022.9729889698356</v>
      </c>
      <c r="F382" s="57">
        <f ca="1">IF(AND(OR(B382&gt;59.5,B382=59.5),B381&lt;59.5),(F381-G381+L381-M381+N381-O381)*(1+'Retirement Planning'!$J$23/12),(F381-G381)*(1+'Retirement Planning'!$J$23/12))</f>
        <v>1099086.5712055492</v>
      </c>
      <c r="G382" s="58">
        <f ca="1">IF(AND($B$10&lt;55,B382&lt;59.5),'Retirement Planning'!$J$25,IF(OR(B382&gt;59.5,B382=59.5),MAX(0,MIN(F382,IF(D382&lt;2500,((Y382+AJ382+AA382))-X382,((Y382+AJ382+AA382)*'Retirement Planning'!$J$44)-X382))),0))</f>
        <v>14757.239386603938</v>
      </c>
      <c r="H382" s="255">
        <f ca="1">IF(MONTH(C382)=1,IF(B382&gt;69.5,F382/(INDEX('Retirement Planning'!D$1:D$264,(160+INT(B382))))/12,0),IF(F382=0,0,H381))</f>
        <v>12982.551306622787</v>
      </c>
      <c r="I382" s="262">
        <f t="shared" ca="1" si="140"/>
        <v>0</v>
      </c>
      <c r="J382" s="254">
        <f ca="1">IF(AND(B381&lt;59.5,OR(B382=59.5,B382&gt;59.5)),0,(J381-K381)*(1+'Retirement Planning'!$J$23/12))</f>
        <v>0</v>
      </c>
      <c r="K382" s="58">
        <f t="shared" ca="1" si="141"/>
        <v>0</v>
      </c>
      <c r="L382" s="57">
        <f>IF(AND(OR(B382&gt;59.5,B382=59.5),B381&lt;59.5),0,(L381-M381)*(1+'Retirement Planning'!$J$23/12))</f>
        <v>0</v>
      </c>
      <c r="M382" s="59">
        <f>IF(AND($B$10&lt;55,B382&lt;59.5),0,IF(B382&lt;59.5,MAX(0,MIN((($Y382+$AJ382+AA382)*'Retirement Planning'!$J$44)-$G382-$X382,L382)),0))</f>
        <v>0</v>
      </c>
      <c r="N382" s="57">
        <f ca="1">(N381-O381)*(1+'Retirement Planning'!$J$23/12)</f>
        <v>0</v>
      </c>
      <c r="O382" s="59">
        <f ca="1">IF(B382&gt;59.5,MAX(0,MIN((AA382+$Y382+$AJ382)*(IF(D382&lt;(MIN(E370:E381)+1),1,'Retirement Planning'!$J$44))-M382-$G382-$X382-(IF(D382&lt;(MIN(E370:E381)+1),D382,0)),N382)),0)</f>
        <v>0</v>
      </c>
      <c r="P382" s="57">
        <f t="shared" si="153"/>
        <v>0</v>
      </c>
      <c r="Q382" s="58">
        <f t="shared" si="154"/>
        <v>0</v>
      </c>
      <c r="R382" s="57">
        <f ca="1">(R381-S381-T381)*(1+'Retirement Planning'!$J$23/12)</f>
        <v>1331364.9485168566</v>
      </c>
      <c r="S382" s="58">
        <f t="shared" ca="1" si="155"/>
        <v>808.33333333333337</v>
      </c>
      <c r="T382" s="273">
        <f t="shared" ca="1" si="142"/>
        <v>-3.1832314562052488E-12</v>
      </c>
      <c r="U382" s="57">
        <f ca="1">(U381-V381)*(1+'Retirement Planning'!$J$23/12)</f>
        <v>778100.94084982795</v>
      </c>
      <c r="V382" s="24">
        <f ca="1">IF(AND($B$10&lt;55,B382&lt;59.5),MIN(U382,MAX(0,(Y382+AA382+AJ382-G382)*'Retirement Planning'!$J$45)),IF(B382&lt;59.5,(MIN(U382,MAX(0,((Y382+AA382+AJ382)-G382-M382)*'Retirement Planning'!$J$45))),MIN(U382,MAX(0,(Y382+AA382+AJ382-G382-M382-K382-X382)*'Retirement Planning'!$J$45))))</f>
        <v>1723.2732869002286</v>
      </c>
      <c r="W382" s="7">
        <f t="shared" ca="1" si="143"/>
        <v>4162300.2742948835</v>
      </c>
      <c r="X382" s="7">
        <f>(IF(B382&gt;'Retirement Planning'!$J$34,IF('Retirement Planning'!$J$34=70,'Retirement Planning'!$J$37/12,IF('Retirement Planning'!$J$34=67,'Retirement Planning'!$J$36/12,'Retirement Planning'!$J$35/12)),0))*'Retirement Planning'!$J$38</f>
        <v>1213.6000000000001</v>
      </c>
      <c r="Y382" s="7">
        <f ca="1">'Retirement Planning'!$F$35*((1+'Retirement Planning'!$J$24)^(YEAR('Projected Retirement Drawdown'!C382)-YEAR(TODAY())))</f>
        <v>15081.552922626232</v>
      </c>
      <c r="Z382" s="7">
        <f ca="1">G382+M382+O382+0.85*X382+V382*'Retirement Planning'!$J$46+T382</f>
        <v>16736.599694399061</v>
      </c>
      <c r="AA382" s="7">
        <f ca="1">IF(MONTH(C382)=1,(((MIN(MAX(0,((SUM(Z370:Z381)-'Retirement Planning'!$I$53-'Retirement Planning'!$I$54)-'Retirement Planning'!$J$51)*'Retirement Planning'!$I$52))))+(MIN(MAX(0,((SUM(Z370:Z381)-'Retirement Planning'!$I$53-'Retirement Planning'!$I$54)-'Retirement Planning'!$J$50)*'Retirement Planning'!$I$51),('Retirement Planning'!$J$51-'Retirement Planning'!$J$50)*'Retirement Planning'!$I$51))+(MIN(MAX(0,((SUM(Z370:Z381)-'Retirement Planning'!$I$53-'Retirement Planning'!$I$54)-'Retirement Planning'!$J$49)*'Retirement Planning'!$I$50),('Retirement Planning'!$J$50-'Retirement Planning'!$J$49)*'Retirement Planning'!$I$50)+MIN(MAX(0,((SUM(Z370:Z381)-'Retirement Planning'!$I$53-'Retirement Planning'!$I$54)-'Retirement Planning'!$J$48)*'Retirement Planning'!$I$49),('Retirement Planning'!$J$49-'Retirement Planning'!$J$48)*'Retirement Planning'!$I$49)+MIN(((SUM(Z370:Z381)-'Retirement Planning'!$I$53-'Retirement Planning'!$I$54))*'Retirement Planning'!$I$48,('Retirement Planning'!$J$48)*'Retirement Planning'!$I$48))+(IF((SUM(Z370:Z381)-'Retirement Planning'!$I$54-'Retirement Planning'!$I$61)&gt;'Retirement Planning'!$J$59,(SUM(Z370:Z381)-'Retirement Planning'!$I$54-'Retirement Planning'!$I$61-'Retirement Planning'!$J$59)*'Retirement Planning'!$I$60+'Retirement Planning'!$K$59,IF((SUM(Z370:Z381)-'Retirement Planning'!$I$54-'Retirement Planning'!$I$61)&gt;'Retirement Planning'!$J$58,(SUM(Z370:Z381)-'Retirement Planning'!$I$54-'Retirement Planning'!$I$61-'Retirement Planning'!$J$58)*'Retirement Planning'!$I$59+'Retirement Planning'!$K$58,IF((SUM(Z370:Z381)-'Retirement Planning'!$I$54-'Retirement Planning'!$I$61)&gt;'Retirement Planning'!$J$57,(SUM(Z370:Z381)-'Retirement Planning'!$I$54-'Retirement Planning'!$I$61-'Retirement Planning'!$J$57)*'Retirement Planning'!$I$58+'Retirement Planning'!$K$57,IF((SUM(Z370:Z381)-'Retirement Planning'!$I$54-'Retirement Planning'!$I$61)&gt;'Retirement Planning'!$J$56,(SUM(Z370:Z381)-'Retirement Planning'!$I$54-'Retirement Planning'!$I$61-'Retirement Planning'!$J$56)*'Retirement Planning'!$I$57+'Retirement Planning'!$K$56,(SUM(Z370:Z381)-'Retirement Planning'!$I$54-'Retirement Planning'!$I$61)*'Retirement Planning'!$I$56))))))/12,AA381)</f>
        <v>4318.8660731811005</v>
      </c>
      <c r="AB382" s="104">
        <f t="shared" ref="AB382:AB413" ca="1" si="168">AB381</f>
        <v>0.26763236439401145</v>
      </c>
      <c r="AC382" s="7">
        <f>IF(B382&lt;65,'Retirement Planning'!$J$28,0)</f>
        <v>0</v>
      </c>
      <c r="AD382" s="7">
        <f>IF(B382&lt;65,'Retirement Planning'!$J$29/12,0)</f>
        <v>0</v>
      </c>
      <c r="AE382" s="22">
        <f>'Retirement Planning'!$J$31/12</f>
        <v>58.333333333333336</v>
      </c>
      <c r="AF382" s="22">
        <f>'Retirement Planning'!$J$32/12</f>
        <v>66.666666666666671</v>
      </c>
      <c r="AG382" s="7">
        <f>IF($B382&gt;64.9,'Retirement Planning'!$J$39/12,0)</f>
        <v>183.33333333333334</v>
      </c>
      <c r="AH382" s="7">
        <f>IF($B382&gt;64.9,'Retirement Planning'!$J$40/12,0)</f>
        <v>258.33333333333331</v>
      </c>
      <c r="AI382" s="7">
        <f>IF($B382&gt;64.9,'Retirement Planning'!$J$41/12,0)</f>
        <v>558.33333333333337</v>
      </c>
      <c r="AJ382" s="7">
        <f t="shared" ca="1" si="144"/>
        <v>316.66666666666663</v>
      </c>
      <c r="AK382" s="3" t="str">
        <f t="shared" ca="1" si="162"/>
        <v>N/A</v>
      </c>
      <c r="AL382" s="6" t="str">
        <f t="shared" ca="1" si="163"/>
        <v>N/A</v>
      </c>
      <c r="AM382" s="7">
        <f t="shared" ca="1" si="147"/>
        <v>-6.8212102632969618E-13</v>
      </c>
      <c r="AN382" s="7">
        <f t="shared" ca="1" si="148"/>
        <v>20525.418995807333</v>
      </c>
      <c r="AO382" s="7">
        <f t="shared" si="149"/>
        <v>1125</v>
      </c>
    </row>
    <row r="383" spans="1:41" x14ac:dyDescent="0.2">
      <c r="A383">
        <f t="shared" si="150"/>
        <v>50</v>
      </c>
      <c r="B383" s="5">
        <f t="shared" si="151"/>
        <v>87.4</v>
      </c>
      <c r="C383" s="56">
        <f t="shared" si="152"/>
        <v>57770</v>
      </c>
      <c r="D383" s="57">
        <f ca="1">IF(AND(B382&lt;59.5,OR(B383&gt;59.5,B383=59.5)),(D382-E382+J382-K382)*(1+'Retirement Planning'!$J$23/12),(D382-E382)*(1+'Retirement Planning'!$J$23/12))</f>
        <v>958466.22502221027</v>
      </c>
      <c r="E383" s="58">
        <f t="shared" ca="1" si="139"/>
        <v>2022.9729889698356</v>
      </c>
      <c r="F383" s="57">
        <f ca="1">IF(AND(OR(B383&gt;59.5,B383=59.5),B382&lt;59.5),(F382-G382+L382-M382+N382-O382)*(1+'Retirement Planning'!$J$23/12),(F382-G382)*(1+'Retirement Planning'!$J$23/12))</f>
        <v>1092009.9979193294</v>
      </c>
      <c r="G383" s="58">
        <f ca="1">IF(AND($B$10&lt;55,B383&lt;59.5),'Retirement Planning'!$J$25,IF(OR(B383&gt;59.5,B383=59.5),MAX(0,MIN(F383,IF(D383&lt;2500,((Y383+AJ383+AA383))-X383,((Y383+AJ383+AA383)*'Retirement Planning'!$J$44)-X383))),0))</f>
        <v>14757.239386603938</v>
      </c>
      <c r="H383" s="255">
        <f ca="1">IF(MONTH(C383)=1,IF(B383&gt;69.5,F383/(INDEX('Retirement Planning'!D$1:D$264,(160+INT(B383))))/12,0),IF(F383=0,0,H382))</f>
        <v>12982.551306622787</v>
      </c>
      <c r="I383" s="262">
        <f t="shared" ca="1" si="140"/>
        <v>0</v>
      </c>
      <c r="J383" s="254">
        <f ca="1">IF(AND(B382&lt;59.5,OR(B383=59.5,B383&gt;59.5)),0,(J382-K382)*(1+'Retirement Planning'!$J$23/12))</f>
        <v>0</v>
      </c>
      <c r="K383" s="58">
        <f t="shared" ca="1" si="141"/>
        <v>0</v>
      </c>
      <c r="L383" s="57">
        <f>IF(AND(OR(B383&gt;59.5,B383=59.5),B382&lt;59.5),0,(L382-M382)*(1+'Retirement Planning'!$J$23/12))</f>
        <v>0</v>
      </c>
      <c r="M383" s="59">
        <f>IF(AND($B$10&lt;55,B383&lt;59.5),0,IF(B383&lt;59.5,MAX(0,MIN((($Y383+$AJ383+AA383)*'Retirement Planning'!$J$44)-$G383-$X383,L383)),0))</f>
        <v>0</v>
      </c>
      <c r="N383" s="57">
        <f ca="1">(N382-O382)*(1+'Retirement Planning'!$J$23/12)</f>
        <v>0</v>
      </c>
      <c r="O383" s="59">
        <f ca="1">IF(B383&gt;59.5,MAX(0,MIN((AA383+$Y383+$AJ383)*(IF(D383&lt;(MIN(E371:E382)+1),1,'Retirement Planning'!$J$44))-M383-$G383-$X383-(IF(D383&lt;(MIN(E371:E382)+1),D383,0)),N383)),0)</f>
        <v>0</v>
      </c>
      <c r="P383" s="57">
        <f t="shared" si="153"/>
        <v>0</v>
      </c>
      <c r="Q383" s="58">
        <f t="shared" si="154"/>
        <v>0</v>
      </c>
      <c r="R383" s="57">
        <f ca="1">(R382-S382-T382)*(1+'Retirement Planning'!$J$23/12)</f>
        <v>1339981.3912077399</v>
      </c>
      <c r="S383" s="58">
        <f t="shared" ca="1" si="155"/>
        <v>808.33333333333337</v>
      </c>
      <c r="T383" s="273">
        <f t="shared" ca="1" si="142"/>
        <v>-3.1832314562052488E-12</v>
      </c>
      <c r="U383" s="57">
        <f ca="1">(U382-V382)*(1+'Retirement Planning'!$J$23/12)</f>
        <v>781877.0093748318</v>
      </c>
      <c r="V383" s="24">
        <f ca="1">IF(AND($B$10&lt;55,B383&lt;59.5),MIN(U383,MAX(0,(Y383+AA383+AJ383-G383)*'Retirement Planning'!$J$45)),IF(B383&lt;59.5,(MIN(U383,MAX(0,((Y383+AA383+AJ383)-G383-M383)*'Retirement Planning'!$J$45))),MIN(U383,MAX(0,(Y383+AA383+AJ383-G383-M383-K383-X383)*'Retirement Planning'!$J$45))))</f>
        <v>1723.2732869002286</v>
      </c>
      <c r="W383" s="7">
        <f t="shared" ca="1" si="143"/>
        <v>4172334.6235241117</v>
      </c>
      <c r="X383" s="7">
        <f>(IF(B383&gt;'Retirement Planning'!$J$34,IF('Retirement Planning'!$J$34=70,'Retirement Planning'!$J$37/12,IF('Retirement Planning'!$J$34=67,'Retirement Planning'!$J$36/12,'Retirement Planning'!$J$35/12)),0))*'Retirement Planning'!$J$38</f>
        <v>1213.6000000000001</v>
      </c>
      <c r="Y383" s="7">
        <f ca="1">'Retirement Planning'!$F$35*((1+'Retirement Planning'!$J$24)^(YEAR('Projected Retirement Drawdown'!C383)-YEAR(TODAY())))</f>
        <v>15081.552922626232</v>
      </c>
      <c r="Z383" s="7">
        <f ca="1">G383+M383+O383+0.85*X383+V383*'Retirement Planning'!$J$46+T383</f>
        <v>16736.599694399061</v>
      </c>
      <c r="AA383" s="7">
        <f ca="1">IF(MONTH(C383)=1,(((MIN(MAX(0,((SUM(Z371:Z382)-'Retirement Planning'!$I$53-'Retirement Planning'!$I$54)-'Retirement Planning'!$J$51)*'Retirement Planning'!$I$52))))+(MIN(MAX(0,((SUM(Z371:Z382)-'Retirement Planning'!$I$53-'Retirement Planning'!$I$54)-'Retirement Planning'!$J$50)*'Retirement Planning'!$I$51),('Retirement Planning'!$J$51-'Retirement Planning'!$J$50)*'Retirement Planning'!$I$51))+(MIN(MAX(0,((SUM(Z371:Z382)-'Retirement Planning'!$I$53-'Retirement Planning'!$I$54)-'Retirement Planning'!$J$49)*'Retirement Planning'!$I$50),('Retirement Planning'!$J$50-'Retirement Planning'!$J$49)*'Retirement Planning'!$I$50)+MIN(MAX(0,((SUM(Z371:Z382)-'Retirement Planning'!$I$53-'Retirement Planning'!$I$54)-'Retirement Planning'!$J$48)*'Retirement Planning'!$I$49),('Retirement Planning'!$J$49-'Retirement Planning'!$J$48)*'Retirement Planning'!$I$49)+MIN(((SUM(Z371:Z382)-'Retirement Planning'!$I$53-'Retirement Planning'!$I$54))*'Retirement Planning'!$I$48,('Retirement Planning'!$J$48)*'Retirement Planning'!$I$48))+(IF((SUM(Z371:Z382)-'Retirement Planning'!$I$54-'Retirement Planning'!$I$61)&gt;'Retirement Planning'!$J$59,(SUM(Z371:Z382)-'Retirement Planning'!$I$54-'Retirement Planning'!$I$61-'Retirement Planning'!$J$59)*'Retirement Planning'!$I$60+'Retirement Planning'!$K$59,IF((SUM(Z371:Z382)-'Retirement Planning'!$I$54-'Retirement Planning'!$I$61)&gt;'Retirement Planning'!$J$58,(SUM(Z371:Z382)-'Retirement Planning'!$I$54-'Retirement Planning'!$I$61-'Retirement Planning'!$J$58)*'Retirement Planning'!$I$59+'Retirement Planning'!$K$58,IF((SUM(Z371:Z382)-'Retirement Planning'!$I$54-'Retirement Planning'!$I$61)&gt;'Retirement Planning'!$J$57,(SUM(Z371:Z382)-'Retirement Planning'!$I$54-'Retirement Planning'!$I$61-'Retirement Planning'!$J$57)*'Retirement Planning'!$I$58+'Retirement Planning'!$K$57,IF((SUM(Z371:Z382)-'Retirement Planning'!$I$54-'Retirement Planning'!$I$61)&gt;'Retirement Planning'!$J$56,(SUM(Z371:Z382)-'Retirement Planning'!$I$54-'Retirement Planning'!$I$61-'Retirement Planning'!$J$56)*'Retirement Planning'!$I$57+'Retirement Planning'!$K$56,(SUM(Z371:Z382)-'Retirement Planning'!$I$54-'Retirement Planning'!$I$61)*'Retirement Planning'!$I$56))))))/12,AA382)</f>
        <v>4318.8660731811005</v>
      </c>
      <c r="AB383" s="104">
        <f t="shared" ca="1" si="164"/>
        <v>0.26763236439401145</v>
      </c>
      <c r="AC383" s="7">
        <f>IF(B383&lt;65,'Retirement Planning'!$J$28,0)</f>
        <v>0</v>
      </c>
      <c r="AD383" s="7">
        <f>IF(B383&lt;65,'Retirement Planning'!$J$29/12,0)</f>
        <v>0</v>
      </c>
      <c r="AE383" s="22">
        <f>'Retirement Planning'!$J$31/12</f>
        <v>58.333333333333336</v>
      </c>
      <c r="AF383" s="22">
        <f>'Retirement Planning'!$J$32/12</f>
        <v>66.666666666666671</v>
      </c>
      <c r="AG383" s="7">
        <f>IF($B383&gt;64.9,'Retirement Planning'!$J$39/12,0)</f>
        <v>183.33333333333334</v>
      </c>
      <c r="AH383" s="7">
        <f>IF($B383&gt;64.9,'Retirement Planning'!$J$40/12,0)</f>
        <v>258.33333333333331</v>
      </c>
      <c r="AI383" s="7">
        <f>IF($B383&gt;64.9,'Retirement Planning'!$J$41/12,0)</f>
        <v>558.33333333333337</v>
      </c>
      <c r="AJ383" s="7">
        <f t="shared" ca="1" si="144"/>
        <v>316.66666666666663</v>
      </c>
      <c r="AK383" s="3" t="str">
        <f t="shared" ca="1" si="162"/>
        <v>N/A</v>
      </c>
      <c r="AL383" s="6" t="str">
        <f t="shared" ca="1" si="163"/>
        <v>N/A</v>
      </c>
      <c r="AM383" s="7">
        <f t="shared" ca="1" si="147"/>
        <v>-6.8212102632969618E-13</v>
      </c>
      <c r="AN383" s="7">
        <f t="shared" ca="1" si="148"/>
        <v>20525.418995807333</v>
      </c>
      <c r="AO383" s="7">
        <f t="shared" si="149"/>
        <v>1125</v>
      </c>
    </row>
    <row r="384" spans="1:41" x14ac:dyDescent="0.2">
      <c r="A384">
        <f t="shared" si="150"/>
        <v>50</v>
      </c>
      <c r="B384" s="5">
        <f t="shared" si="151"/>
        <v>87.5</v>
      </c>
      <c r="C384" s="56">
        <f t="shared" si="152"/>
        <v>57801</v>
      </c>
      <c r="D384" s="57">
        <f ca="1">IF(AND(B383&lt;59.5,OR(B384&gt;59.5,B384=59.5)),(D383-E383+J383-K383)*(1+'Retirement Planning'!$J$23/12),(D383-E383)*(1+'Retirement Planning'!$J$23/12))</f>
        <v>963218.05840180919</v>
      </c>
      <c r="E384" s="58">
        <f t="shared" ca="1" si="139"/>
        <v>2022.9729889698356</v>
      </c>
      <c r="F384" s="57">
        <f ca="1">IF(AND(OR(B384&gt;59.5,B384=59.5),B383&lt;59.5),(F383-G383+L383-M383+N383-O383)*(1+'Retirement Planning'!$J$23/12),(F383-G383)*(1+'Retirement Planning'!$J$23/12))</f>
        <v>1084883.2989056658</v>
      </c>
      <c r="G384" s="58">
        <f ca="1">IF(AND($B$10&lt;55,B384&lt;59.5),'Retirement Planning'!$J$25,IF(OR(B384&gt;59.5,B384=59.5),MAX(0,MIN(F384,IF(D384&lt;2500,((Y384+AJ384+AA384))-X384,((Y384+AJ384+AA384)*'Retirement Planning'!$J$44)-X384))),0))</f>
        <v>14757.239386603938</v>
      </c>
      <c r="H384" s="255">
        <f ca="1">IF(MONTH(C384)=1,IF(B384&gt;69.5,F384/(INDEX('Retirement Planning'!D$1:D$264,(160+INT(B384))))/12,0),IF(F384=0,0,H383))</f>
        <v>12982.551306622787</v>
      </c>
      <c r="I384" s="262">
        <f t="shared" ca="1" si="140"/>
        <v>0</v>
      </c>
      <c r="J384" s="254">
        <f ca="1">IF(AND(B383&lt;59.5,OR(B384=59.5,B384&gt;59.5)),0,(J383-K383)*(1+'Retirement Planning'!$J$23/12))</f>
        <v>0</v>
      </c>
      <c r="K384" s="58">
        <f t="shared" ca="1" si="141"/>
        <v>0</v>
      </c>
      <c r="L384" s="57">
        <f>IF(AND(OR(B384&gt;59.5,B384=59.5),B383&lt;59.5),0,(L383-M383)*(1+'Retirement Planning'!$J$23/12))</f>
        <v>0</v>
      </c>
      <c r="M384" s="59">
        <f>IF(AND($B$10&lt;55,B384&lt;59.5),0,IF(B384&lt;59.5,MAX(0,MIN((($Y384+$AJ384+AA384)*'Retirement Planning'!$J$44)-$G384-$X384,L384)),0))</f>
        <v>0</v>
      </c>
      <c r="N384" s="57">
        <f ca="1">(N383-O383)*(1+'Retirement Planning'!$J$23/12)</f>
        <v>0</v>
      </c>
      <c r="O384" s="59">
        <f ca="1">IF(B384&gt;59.5,MAX(0,MIN((AA384+$Y384+$AJ384)*(IF(D384&lt;(MIN(E372:E383)+1),1,'Retirement Planning'!$J$44))-M384-$G384-$X384-(IF(D384&lt;(MIN(E372:E383)+1),D384,0)),N384)),0)</f>
        <v>0</v>
      </c>
      <c r="P384" s="57">
        <f t="shared" si="153"/>
        <v>0</v>
      </c>
      <c r="Q384" s="58">
        <f t="shared" si="154"/>
        <v>0</v>
      </c>
      <c r="R384" s="57">
        <f ca="1">(R383-S383-T383)*(1+'Retirement Planning'!$J$23/12)</f>
        <v>1348658.8670343503</v>
      </c>
      <c r="S384" s="58">
        <f t="shared" ca="1" si="155"/>
        <v>808.33333333333337</v>
      </c>
      <c r="T384" s="273">
        <f t="shared" ca="1" si="142"/>
        <v>-3.1832314562052488E-12</v>
      </c>
      <c r="U384" s="57">
        <f ca="1">(U383-V383)*(1+'Retirement Planning'!$J$23/12)</f>
        <v>785679.82505188778</v>
      </c>
      <c r="V384" s="24">
        <f ca="1">IF(AND($B$10&lt;55,B384&lt;59.5),MIN(U384,MAX(0,(Y384+AA384+AJ384-G384)*'Retirement Planning'!$J$45)),IF(B384&lt;59.5,(MIN(U384,MAX(0,((Y384+AA384+AJ384)-G384-M384)*'Retirement Planning'!$J$45))),MIN(U384,MAX(0,(Y384+AA384+AJ384-G384-M384-K384-X384)*'Retirement Planning'!$J$45))))</f>
        <v>1723.2732869002286</v>
      </c>
      <c r="W384" s="7">
        <f t="shared" ca="1" si="143"/>
        <v>4182440.0493937135</v>
      </c>
      <c r="X384" s="7">
        <f>(IF(B384&gt;'Retirement Planning'!$J$34,IF('Retirement Planning'!$J$34=70,'Retirement Planning'!$J$37/12,IF('Retirement Planning'!$J$34=67,'Retirement Planning'!$J$36/12,'Retirement Planning'!$J$35/12)),0))*'Retirement Planning'!$J$38</f>
        <v>1213.6000000000001</v>
      </c>
      <c r="Y384" s="7">
        <f ca="1">'Retirement Planning'!$F$35*((1+'Retirement Planning'!$J$24)^(YEAR('Projected Retirement Drawdown'!C384)-YEAR(TODAY())))</f>
        <v>15081.552922626232</v>
      </c>
      <c r="Z384" s="7">
        <f ca="1">G384+M384+O384+0.85*X384+V384*'Retirement Planning'!$J$46+T384</f>
        <v>16736.599694399061</v>
      </c>
      <c r="AA384" s="7">
        <f ca="1">IF(MONTH(C384)=1,(((MIN(MAX(0,((SUM(Z372:Z383)-'Retirement Planning'!$I$53-'Retirement Planning'!$I$54)-'Retirement Planning'!$J$51)*'Retirement Planning'!$I$52))))+(MIN(MAX(0,((SUM(Z372:Z383)-'Retirement Planning'!$I$53-'Retirement Planning'!$I$54)-'Retirement Planning'!$J$50)*'Retirement Planning'!$I$51),('Retirement Planning'!$J$51-'Retirement Planning'!$J$50)*'Retirement Planning'!$I$51))+(MIN(MAX(0,((SUM(Z372:Z383)-'Retirement Planning'!$I$53-'Retirement Planning'!$I$54)-'Retirement Planning'!$J$49)*'Retirement Planning'!$I$50),('Retirement Planning'!$J$50-'Retirement Planning'!$J$49)*'Retirement Planning'!$I$50)+MIN(MAX(0,((SUM(Z372:Z383)-'Retirement Planning'!$I$53-'Retirement Planning'!$I$54)-'Retirement Planning'!$J$48)*'Retirement Planning'!$I$49),('Retirement Planning'!$J$49-'Retirement Planning'!$J$48)*'Retirement Planning'!$I$49)+MIN(((SUM(Z372:Z383)-'Retirement Planning'!$I$53-'Retirement Planning'!$I$54))*'Retirement Planning'!$I$48,('Retirement Planning'!$J$48)*'Retirement Planning'!$I$48))+(IF((SUM(Z372:Z383)-'Retirement Planning'!$I$54-'Retirement Planning'!$I$61)&gt;'Retirement Planning'!$J$59,(SUM(Z372:Z383)-'Retirement Planning'!$I$54-'Retirement Planning'!$I$61-'Retirement Planning'!$J$59)*'Retirement Planning'!$I$60+'Retirement Planning'!$K$59,IF((SUM(Z372:Z383)-'Retirement Planning'!$I$54-'Retirement Planning'!$I$61)&gt;'Retirement Planning'!$J$58,(SUM(Z372:Z383)-'Retirement Planning'!$I$54-'Retirement Planning'!$I$61-'Retirement Planning'!$J$58)*'Retirement Planning'!$I$59+'Retirement Planning'!$K$58,IF((SUM(Z372:Z383)-'Retirement Planning'!$I$54-'Retirement Planning'!$I$61)&gt;'Retirement Planning'!$J$57,(SUM(Z372:Z383)-'Retirement Planning'!$I$54-'Retirement Planning'!$I$61-'Retirement Planning'!$J$57)*'Retirement Planning'!$I$58+'Retirement Planning'!$K$57,IF((SUM(Z372:Z383)-'Retirement Planning'!$I$54-'Retirement Planning'!$I$61)&gt;'Retirement Planning'!$J$56,(SUM(Z372:Z383)-'Retirement Planning'!$I$54-'Retirement Planning'!$I$61-'Retirement Planning'!$J$56)*'Retirement Planning'!$I$57+'Retirement Planning'!$K$56,(SUM(Z372:Z383)-'Retirement Planning'!$I$54-'Retirement Planning'!$I$61)*'Retirement Planning'!$I$56))))))/12,AA383)</f>
        <v>4318.8660731811005</v>
      </c>
      <c r="AB384" s="104">
        <f t="shared" ca="1" si="164"/>
        <v>0.26763236439401145</v>
      </c>
      <c r="AC384" s="7">
        <f>IF(B384&lt;65,'Retirement Planning'!$J$28,0)</f>
        <v>0</v>
      </c>
      <c r="AD384" s="7">
        <f>IF(B384&lt;65,'Retirement Planning'!$J$29/12,0)</f>
        <v>0</v>
      </c>
      <c r="AE384" s="22">
        <f>'Retirement Planning'!$J$31/12</f>
        <v>58.333333333333336</v>
      </c>
      <c r="AF384" s="22">
        <f>'Retirement Planning'!$J$32/12</f>
        <v>66.666666666666671</v>
      </c>
      <c r="AG384" s="7">
        <f>IF($B384&gt;64.9,'Retirement Planning'!$J$39/12,0)</f>
        <v>183.33333333333334</v>
      </c>
      <c r="AH384" s="7">
        <f>IF($B384&gt;64.9,'Retirement Planning'!$J$40/12,0)</f>
        <v>258.33333333333331</v>
      </c>
      <c r="AI384" s="7">
        <f>IF($B384&gt;64.9,'Retirement Planning'!$J$41/12,0)</f>
        <v>558.33333333333337</v>
      </c>
      <c r="AJ384" s="7">
        <f t="shared" ca="1" si="144"/>
        <v>316.66666666666663</v>
      </c>
      <c r="AK384" s="3" t="str">
        <f t="shared" ca="1" si="162"/>
        <v>N/A</v>
      </c>
      <c r="AL384" s="6" t="str">
        <f t="shared" ca="1" si="163"/>
        <v>N/A</v>
      </c>
      <c r="AM384" s="7">
        <f t="shared" ca="1" si="147"/>
        <v>-6.8212102632969618E-13</v>
      </c>
      <c r="AN384" s="7">
        <f t="shared" ca="1" si="148"/>
        <v>20525.418995807333</v>
      </c>
      <c r="AO384" s="7">
        <f t="shared" si="149"/>
        <v>1125</v>
      </c>
    </row>
    <row r="385" spans="1:41" x14ac:dyDescent="0.2">
      <c r="A385">
        <f t="shared" si="150"/>
        <v>50</v>
      </c>
      <c r="B385" s="5">
        <f t="shared" si="151"/>
        <v>87.5</v>
      </c>
      <c r="C385" s="56">
        <f t="shared" si="152"/>
        <v>57831</v>
      </c>
      <c r="D385" s="57">
        <f ca="1">IF(AND(B384&lt;59.5,OR(B385&gt;59.5,B385=59.5)),(D384-E384+J384-K384)*(1+'Retirement Planning'!$J$23/12),(D384-E384)*(1+'Retirement Planning'!$J$23/12))</f>
        <v>968003.55060118029</v>
      </c>
      <c r="E385" s="58">
        <f t="shared" ca="1" si="139"/>
        <v>2022.9729889698356</v>
      </c>
      <c r="F385" s="57">
        <f ca="1">IF(AND(OR(B385&gt;59.5,B385=59.5),B384&lt;59.5),(F384-G384+L384-M384+N384-O384)*(1+'Retirement Planning'!$J$23/12),(F384-G384)*(1+'Retirement Planning'!$J$23/12))</f>
        <v>1077706.1191073218</v>
      </c>
      <c r="G385" s="58">
        <f ca="1">IF(AND($B$10&lt;55,B385&lt;59.5),'Retirement Planning'!$J$25,IF(OR(B385&gt;59.5,B385=59.5),MAX(0,MIN(F385,IF(D385&lt;2500,((Y385+AJ385+AA385))-X385,((Y385+AJ385+AA385)*'Retirement Planning'!$J$44)-X385))),0))</f>
        <v>14757.239386603938</v>
      </c>
      <c r="H385" s="255">
        <f ca="1">IF(MONTH(C385)=1,IF(B385&gt;69.5,F385/(INDEX('Retirement Planning'!D$1:D$264,(160+INT(B385))))/12,0),IF(F385=0,0,H384))</f>
        <v>12982.551306622787</v>
      </c>
      <c r="I385" s="262">
        <f t="shared" ca="1" si="140"/>
        <v>0</v>
      </c>
      <c r="J385" s="254">
        <f ca="1">IF(AND(B384&lt;59.5,OR(B385=59.5,B385&gt;59.5)),0,(J384-K384)*(1+'Retirement Planning'!$J$23/12))</f>
        <v>0</v>
      </c>
      <c r="K385" s="58">
        <f t="shared" ca="1" si="141"/>
        <v>0</v>
      </c>
      <c r="L385" s="57">
        <f>IF(AND(OR(B385&gt;59.5,B385=59.5),B384&lt;59.5),0,(L384-M384)*(1+'Retirement Planning'!$J$23/12))</f>
        <v>0</v>
      </c>
      <c r="M385" s="59">
        <f>IF(AND($B$10&lt;55,B385&lt;59.5),0,IF(B385&lt;59.5,MAX(0,MIN((($Y385+$AJ385+AA385)*'Retirement Planning'!$J$44)-$G385-$X385,L385)),0))</f>
        <v>0</v>
      </c>
      <c r="N385" s="57">
        <f ca="1">(N384-O384)*(1+'Retirement Planning'!$J$23/12)</f>
        <v>0</v>
      </c>
      <c r="O385" s="59">
        <f ca="1">IF(B385&gt;59.5,MAX(0,MIN((AA385+$Y385+$AJ385)*(IF(D385&lt;(MIN(E373:E384)+1),1,'Retirement Planning'!$J$44))-M385-$G385-$X385-(IF(D385&lt;(MIN(E373:E384)+1),D385,0)),N385)),0)</f>
        <v>0</v>
      </c>
      <c r="P385" s="57">
        <f t="shared" si="153"/>
        <v>0</v>
      </c>
      <c r="Q385" s="58">
        <f t="shared" si="154"/>
        <v>0</v>
      </c>
      <c r="R385" s="57">
        <f ca="1">(R384-S384-T384)*(1+'Retirement Planning'!$J$23/12)</f>
        <v>1357397.8083147325</v>
      </c>
      <c r="S385" s="58">
        <f t="shared" ca="1" si="155"/>
        <v>808.33333333333337</v>
      </c>
      <c r="T385" s="273">
        <f t="shared" ca="1" si="142"/>
        <v>-3.1832314562052488E-12</v>
      </c>
      <c r="U385" s="57">
        <f ca="1">(U384-V384)*(1+'Retirement Planning'!$J$23/12)</f>
        <v>789509.57733998948</v>
      </c>
      <c r="V385" s="24">
        <f ca="1">IF(AND($B$10&lt;55,B385&lt;59.5),MIN(U385,MAX(0,(Y385+AA385+AJ385-G385)*'Retirement Planning'!$J$45)),IF(B385&lt;59.5,(MIN(U385,MAX(0,((Y385+AA385+AJ385)-G385-M385)*'Retirement Planning'!$J$45))),MIN(U385,MAX(0,(Y385+AA385+AJ385-G385-M385-K385-X385)*'Retirement Planning'!$J$45))))</f>
        <v>1723.2732869002286</v>
      </c>
      <c r="W385" s="7">
        <f t="shared" ca="1" si="143"/>
        <v>4192617.0553632244</v>
      </c>
      <c r="X385" s="7">
        <f>(IF(B385&gt;'Retirement Planning'!$J$34,IF('Retirement Planning'!$J$34=70,'Retirement Planning'!$J$37/12,IF('Retirement Planning'!$J$34=67,'Retirement Planning'!$J$36/12,'Retirement Planning'!$J$35/12)),0))*'Retirement Planning'!$J$38</f>
        <v>1213.6000000000001</v>
      </c>
      <c r="Y385" s="7">
        <f ca="1">'Retirement Planning'!$F$35*((1+'Retirement Planning'!$J$24)^(YEAR('Projected Retirement Drawdown'!C385)-YEAR(TODAY())))</f>
        <v>15081.552922626232</v>
      </c>
      <c r="Z385" s="7">
        <f ca="1">G385+M385+O385+0.85*X385+V385*'Retirement Planning'!$J$46+T385</f>
        <v>16736.599694399061</v>
      </c>
      <c r="AA385" s="7">
        <f ca="1">IF(MONTH(C385)=1,(((MIN(MAX(0,((SUM(Z373:Z384)-'Retirement Planning'!$I$53-'Retirement Planning'!$I$54)-'Retirement Planning'!$J$51)*'Retirement Planning'!$I$52))))+(MIN(MAX(0,((SUM(Z373:Z384)-'Retirement Planning'!$I$53-'Retirement Planning'!$I$54)-'Retirement Planning'!$J$50)*'Retirement Planning'!$I$51),('Retirement Planning'!$J$51-'Retirement Planning'!$J$50)*'Retirement Planning'!$I$51))+(MIN(MAX(0,((SUM(Z373:Z384)-'Retirement Planning'!$I$53-'Retirement Planning'!$I$54)-'Retirement Planning'!$J$49)*'Retirement Planning'!$I$50),('Retirement Planning'!$J$50-'Retirement Planning'!$J$49)*'Retirement Planning'!$I$50)+MIN(MAX(0,((SUM(Z373:Z384)-'Retirement Planning'!$I$53-'Retirement Planning'!$I$54)-'Retirement Planning'!$J$48)*'Retirement Planning'!$I$49),('Retirement Planning'!$J$49-'Retirement Planning'!$J$48)*'Retirement Planning'!$I$49)+MIN(((SUM(Z373:Z384)-'Retirement Planning'!$I$53-'Retirement Planning'!$I$54))*'Retirement Planning'!$I$48,('Retirement Planning'!$J$48)*'Retirement Planning'!$I$48))+(IF((SUM(Z373:Z384)-'Retirement Planning'!$I$54-'Retirement Planning'!$I$61)&gt;'Retirement Planning'!$J$59,(SUM(Z373:Z384)-'Retirement Planning'!$I$54-'Retirement Planning'!$I$61-'Retirement Planning'!$J$59)*'Retirement Planning'!$I$60+'Retirement Planning'!$K$59,IF((SUM(Z373:Z384)-'Retirement Planning'!$I$54-'Retirement Planning'!$I$61)&gt;'Retirement Planning'!$J$58,(SUM(Z373:Z384)-'Retirement Planning'!$I$54-'Retirement Planning'!$I$61-'Retirement Planning'!$J$58)*'Retirement Planning'!$I$59+'Retirement Planning'!$K$58,IF((SUM(Z373:Z384)-'Retirement Planning'!$I$54-'Retirement Planning'!$I$61)&gt;'Retirement Planning'!$J$57,(SUM(Z373:Z384)-'Retirement Planning'!$I$54-'Retirement Planning'!$I$61-'Retirement Planning'!$J$57)*'Retirement Planning'!$I$58+'Retirement Planning'!$K$57,IF((SUM(Z373:Z384)-'Retirement Planning'!$I$54-'Retirement Planning'!$I$61)&gt;'Retirement Planning'!$J$56,(SUM(Z373:Z384)-'Retirement Planning'!$I$54-'Retirement Planning'!$I$61-'Retirement Planning'!$J$56)*'Retirement Planning'!$I$57+'Retirement Planning'!$K$56,(SUM(Z373:Z384)-'Retirement Planning'!$I$54-'Retirement Planning'!$I$61)*'Retirement Planning'!$I$56))))))/12,AA384)</f>
        <v>4318.8660731811005</v>
      </c>
      <c r="AB385" s="104">
        <f t="shared" ca="1" si="164"/>
        <v>0.26763236439401145</v>
      </c>
      <c r="AC385" s="7">
        <f>IF(B385&lt;65,'Retirement Planning'!$J$28,0)</f>
        <v>0</v>
      </c>
      <c r="AD385" s="7">
        <f>IF(B385&lt;65,'Retirement Planning'!$J$29/12,0)</f>
        <v>0</v>
      </c>
      <c r="AE385" s="22">
        <f>'Retirement Planning'!$J$31/12</f>
        <v>58.333333333333336</v>
      </c>
      <c r="AF385" s="22">
        <f>'Retirement Planning'!$J$32/12</f>
        <v>66.666666666666671</v>
      </c>
      <c r="AG385" s="7">
        <f>IF($B385&gt;64.9,'Retirement Planning'!$J$39/12,0)</f>
        <v>183.33333333333334</v>
      </c>
      <c r="AH385" s="7">
        <f>IF($B385&gt;64.9,'Retirement Planning'!$J$40/12,0)</f>
        <v>258.33333333333331</v>
      </c>
      <c r="AI385" s="7">
        <f>IF($B385&gt;64.9,'Retirement Planning'!$J$41/12,0)</f>
        <v>558.33333333333337</v>
      </c>
      <c r="AJ385" s="7">
        <f t="shared" ca="1" si="144"/>
        <v>316.66666666666663</v>
      </c>
      <c r="AK385" s="3" t="str">
        <f t="shared" ca="1" si="162"/>
        <v>N/A</v>
      </c>
      <c r="AL385" s="6" t="str">
        <f t="shared" ca="1" si="163"/>
        <v>N/A</v>
      </c>
      <c r="AM385" s="7">
        <f t="shared" ca="1" si="147"/>
        <v>-6.8212102632969618E-13</v>
      </c>
      <c r="AN385" s="7">
        <f t="shared" ca="1" si="148"/>
        <v>20525.418995807333</v>
      </c>
      <c r="AO385" s="7">
        <f t="shared" si="149"/>
        <v>1125</v>
      </c>
    </row>
    <row r="386" spans="1:41" x14ac:dyDescent="0.2">
      <c r="A386">
        <f t="shared" si="150"/>
        <v>50</v>
      </c>
      <c r="B386" s="5">
        <f t="shared" si="151"/>
        <v>87.6</v>
      </c>
      <c r="C386" s="56">
        <f t="shared" si="152"/>
        <v>57862</v>
      </c>
      <c r="D386" s="57">
        <f ca="1">IF(AND(B385&lt;59.5,OR(B386&gt;59.5,B386=59.5)),(D385-E385+J385-K385)*(1+'Retirement Planning'!$J$23/12),(D385-E385)*(1+'Retirement Planning'!$J$23/12))</f>
        <v>972822.94003696356</v>
      </c>
      <c r="E386" s="58">
        <f t="shared" ca="1" si="139"/>
        <v>2022.9729889698356</v>
      </c>
      <c r="F386" s="57">
        <f ca="1">IF(AND(OR(B386&gt;59.5,B386=59.5),B385&lt;59.5),(F385-G385+L385-M385+N385-O385)*(1+'Retirement Planning'!$J$23/12),(F385-G385)*(1+'Retirement Planning'!$J$23/12))</f>
        <v>1070478.100952073</v>
      </c>
      <c r="G386" s="58">
        <f ca="1">IF(AND($B$10&lt;55,B386&lt;59.5),'Retirement Planning'!$J$25,IF(OR(B386&gt;59.5,B386=59.5),MAX(0,MIN(F386,IF(D386&lt;2500,((Y386+AJ386+AA386))-X386,((Y386+AJ386+AA386)*'Retirement Planning'!$J$44)-X386))),0))</f>
        <v>14757.239386603938</v>
      </c>
      <c r="H386" s="255">
        <f ca="1">IF(MONTH(C386)=1,IF(B386&gt;69.5,F386/(INDEX('Retirement Planning'!D$1:D$264,(160+INT(B386))))/12,0),IF(F386=0,0,H385))</f>
        <v>12982.551306622787</v>
      </c>
      <c r="I386" s="262">
        <f t="shared" ca="1" si="140"/>
        <v>0</v>
      </c>
      <c r="J386" s="254">
        <f ca="1">IF(AND(B385&lt;59.5,OR(B386=59.5,B386&gt;59.5)),0,(J385-K385)*(1+'Retirement Planning'!$J$23/12))</f>
        <v>0</v>
      </c>
      <c r="K386" s="58">
        <f t="shared" ca="1" si="141"/>
        <v>0</v>
      </c>
      <c r="L386" s="57">
        <f>IF(AND(OR(B386&gt;59.5,B386=59.5),B385&lt;59.5),0,(L385-M385)*(1+'Retirement Planning'!$J$23/12))</f>
        <v>0</v>
      </c>
      <c r="M386" s="59">
        <f>IF(AND($B$10&lt;55,B386&lt;59.5),0,IF(B386&lt;59.5,MAX(0,MIN((($Y386+$AJ386+AA386)*'Retirement Planning'!$J$44)-$G386-$X386,L386)),0))</f>
        <v>0</v>
      </c>
      <c r="N386" s="57">
        <f ca="1">(N385-O385)*(1+'Retirement Planning'!$J$23/12)</f>
        <v>0</v>
      </c>
      <c r="O386" s="59">
        <f ca="1">IF(B386&gt;59.5,MAX(0,MIN((AA386+$Y386+$AJ386)*(IF(D386&lt;(MIN(E374:E385)+1),1,'Retirement Planning'!$J$44))-M386-$G386-$X386-(IF(D386&lt;(MIN(E374:E385)+1),D386,0)),N386)),0)</f>
        <v>0</v>
      </c>
      <c r="P386" s="57">
        <f t="shared" si="153"/>
        <v>0</v>
      </c>
      <c r="Q386" s="58">
        <f t="shared" si="154"/>
        <v>0</v>
      </c>
      <c r="R386" s="57">
        <f ca="1">(R385-S385-T385)*(1+'Retirement Planning'!$J$23/12)</f>
        <v>1366198.6504291841</v>
      </c>
      <c r="S386" s="58">
        <f t="shared" ca="1" si="155"/>
        <v>808.33333333333337</v>
      </c>
      <c r="T386" s="273">
        <f t="shared" ca="1" si="142"/>
        <v>-3.1832314562052488E-12</v>
      </c>
      <c r="U386" s="57">
        <f ca="1">(U385-V385)*(1+'Retirement Planning'!$J$23/12)</f>
        <v>793366.45704013191</v>
      </c>
      <c r="V386" s="24">
        <f ca="1">IF(AND($B$10&lt;55,B386&lt;59.5),MIN(U386,MAX(0,(Y386+AA386+AJ386-G386)*'Retirement Planning'!$J$45)),IF(B386&lt;59.5,(MIN(U386,MAX(0,((Y386+AA386+AJ386)-G386-M386)*'Retirement Planning'!$J$45))),MIN(U386,MAX(0,(Y386+AA386+AJ386-G386-M386-K386-X386)*'Retirement Planning'!$J$45))))</f>
        <v>1723.2732869002286</v>
      </c>
      <c r="W386" s="7">
        <f t="shared" ca="1" si="143"/>
        <v>4202866.1484583523</v>
      </c>
      <c r="X386" s="7">
        <f>(IF(B386&gt;'Retirement Planning'!$J$34,IF('Retirement Planning'!$J$34=70,'Retirement Planning'!$J$37/12,IF('Retirement Planning'!$J$34=67,'Retirement Planning'!$J$36/12,'Retirement Planning'!$J$35/12)),0))*'Retirement Planning'!$J$38</f>
        <v>1213.6000000000001</v>
      </c>
      <c r="Y386" s="7">
        <f ca="1">'Retirement Planning'!$F$35*((1+'Retirement Planning'!$J$24)^(YEAR('Projected Retirement Drawdown'!C386)-YEAR(TODAY())))</f>
        <v>15081.552922626232</v>
      </c>
      <c r="Z386" s="7">
        <f ca="1">G386+M386+O386+0.85*X386+V386*'Retirement Planning'!$J$46+T386</f>
        <v>16736.599694399061</v>
      </c>
      <c r="AA386" s="7">
        <f ca="1">IF(MONTH(C386)=1,(((MIN(MAX(0,((SUM(Z374:Z385)-'Retirement Planning'!$I$53-'Retirement Planning'!$I$54)-'Retirement Planning'!$J$51)*'Retirement Planning'!$I$52))))+(MIN(MAX(0,((SUM(Z374:Z385)-'Retirement Planning'!$I$53-'Retirement Planning'!$I$54)-'Retirement Planning'!$J$50)*'Retirement Planning'!$I$51),('Retirement Planning'!$J$51-'Retirement Planning'!$J$50)*'Retirement Planning'!$I$51))+(MIN(MAX(0,((SUM(Z374:Z385)-'Retirement Planning'!$I$53-'Retirement Planning'!$I$54)-'Retirement Planning'!$J$49)*'Retirement Planning'!$I$50),('Retirement Planning'!$J$50-'Retirement Planning'!$J$49)*'Retirement Planning'!$I$50)+MIN(MAX(0,((SUM(Z374:Z385)-'Retirement Planning'!$I$53-'Retirement Planning'!$I$54)-'Retirement Planning'!$J$48)*'Retirement Planning'!$I$49),('Retirement Planning'!$J$49-'Retirement Planning'!$J$48)*'Retirement Planning'!$I$49)+MIN(((SUM(Z374:Z385)-'Retirement Planning'!$I$53-'Retirement Planning'!$I$54))*'Retirement Planning'!$I$48,('Retirement Planning'!$J$48)*'Retirement Planning'!$I$48))+(IF((SUM(Z374:Z385)-'Retirement Planning'!$I$54-'Retirement Planning'!$I$61)&gt;'Retirement Planning'!$J$59,(SUM(Z374:Z385)-'Retirement Planning'!$I$54-'Retirement Planning'!$I$61-'Retirement Planning'!$J$59)*'Retirement Planning'!$I$60+'Retirement Planning'!$K$59,IF((SUM(Z374:Z385)-'Retirement Planning'!$I$54-'Retirement Planning'!$I$61)&gt;'Retirement Planning'!$J$58,(SUM(Z374:Z385)-'Retirement Planning'!$I$54-'Retirement Planning'!$I$61-'Retirement Planning'!$J$58)*'Retirement Planning'!$I$59+'Retirement Planning'!$K$58,IF((SUM(Z374:Z385)-'Retirement Planning'!$I$54-'Retirement Planning'!$I$61)&gt;'Retirement Planning'!$J$57,(SUM(Z374:Z385)-'Retirement Planning'!$I$54-'Retirement Planning'!$I$61-'Retirement Planning'!$J$57)*'Retirement Planning'!$I$58+'Retirement Planning'!$K$57,IF((SUM(Z374:Z385)-'Retirement Planning'!$I$54-'Retirement Planning'!$I$61)&gt;'Retirement Planning'!$J$56,(SUM(Z374:Z385)-'Retirement Planning'!$I$54-'Retirement Planning'!$I$61-'Retirement Planning'!$J$56)*'Retirement Planning'!$I$57+'Retirement Planning'!$K$56,(SUM(Z374:Z385)-'Retirement Planning'!$I$54-'Retirement Planning'!$I$61)*'Retirement Planning'!$I$56))))))/12,AA385)</f>
        <v>4318.8660731811005</v>
      </c>
      <c r="AB386" s="104">
        <f t="shared" ca="1" si="164"/>
        <v>0.26763236439401145</v>
      </c>
      <c r="AC386" s="7">
        <f>IF(B386&lt;65,'Retirement Planning'!$J$28,0)</f>
        <v>0</v>
      </c>
      <c r="AD386" s="7">
        <f>IF(B386&lt;65,'Retirement Planning'!$J$29/12,0)</f>
        <v>0</v>
      </c>
      <c r="AE386" s="22">
        <f>'Retirement Planning'!$J$31/12</f>
        <v>58.333333333333336</v>
      </c>
      <c r="AF386" s="22">
        <f>'Retirement Planning'!$J$32/12</f>
        <v>66.666666666666671</v>
      </c>
      <c r="AG386" s="7">
        <f>IF($B386&gt;64.9,'Retirement Planning'!$J$39/12,0)</f>
        <v>183.33333333333334</v>
      </c>
      <c r="AH386" s="7">
        <f>IF($B386&gt;64.9,'Retirement Planning'!$J$40/12,0)</f>
        <v>258.33333333333331</v>
      </c>
      <c r="AI386" s="7">
        <f>IF($B386&gt;64.9,'Retirement Planning'!$J$41/12,0)</f>
        <v>558.33333333333337</v>
      </c>
      <c r="AJ386" s="7">
        <f t="shared" ca="1" si="144"/>
        <v>316.66666666666663</v>
      </c>
      <c r="AK386" s="3" t="str">
        <f t="shared" ca="1" si="162"/>
        <v>N/A</v>
      </c>
      <c r="AL386" s="6" t="str">
        <f t="shared" ca="1" si="163"/>
        <v>N/A</v>
      </c>
      <c r="AM386" s="7">
        <f t="shared" ca="1" si="147"/>
        <v>-6.8212102632969618E-13</v>
      </c>
      <c r="AN386" s="7">
        <f t="shared" ca="1" si="148"/>
        <v>20525.418995807333</v>
      </c>
      <c r="AO386" s="7">
        <f t="shared" si="149"/>
        <v>1125</v>
      </c>
    </row>
    <row r="387" spans="1:41" x14ac:dyDescent="0.2">
      <c r="A387">
        <f t="shared" si="150"/>
        <v>50</v>
      </c>
      <c r="B387" s="5">
        <f t="shared" si="151"/>
        <v>87.7</v>
      </c>
      <c r="C387" s="56">
        <f t="shared" si="152"/>
        <v>57892</v>
      </c>
      <c r="D387" s="57">
        <f ca="1">IF(AND(B386&lt;59.5,OR(B387&gt;59.5,B387=59.5)),(D386-E386+J386-K386)*(1+'Retirement Planning'!$J$23/12),(D386-E386)*(1+'Retirement Planning'!$J$23/12))</f>
        <v>977676.46681458363</v>
      </c>
      <c r="E387" s="58">
        <f t="shared" ca="1" si="139"/>
        <v>2022.9729889698356</v>
      </c>
      <c r="F387" s="57">
        <f ca="1">IF(AND(OR(B387&gt;59.5,B387=59.5),B386&lt;59.5),(F386-G386+L386-M386+N386-O386)*(1+'Retirement Planning'!$J$23/12),(F386-G386)*(1+'Retirement Planning'!$J$23/12))</f>
        <v>1063198.8843348911</v>
      </c>
      <c r="G387" s="58">
        <f ca="1">IF(AND($B$10&lt;55,B387&lt;59.5),'Retirement Planning'!$J$25,IF(OR(B387&gt;59.5,B387=59.5),MAX(0,MIN(F387,IF(D387&lt;2500,((Y387+AJ387+AA387))-X387,((Y387+AJ387+AA387)*'Retirement Planning'!$J$44)-X387))),0))</f>
        <v>14757.239386603938</v>
      </c>
      <c r="H387" s="255">
        <f ca="1">IF(MONTH(C387)=1,IF(B387&gt;69.5,F387/(INDEX('Retirement Planning'!D$1:D$264,(160+INT(B387))))/12,0),IF(F387=0,0,H386))</f>
        <v>12982.551306622787</v>
      </c>
      <c r="I387" s="262">
        <f t="shared" ca="1" si="140"/>
        <v>0</v>
      </c>
      <c r="J387" s="254">
        <f ca="1">IF(AND(B386&lt;59.5,OR(B387=59.5,B387&gt;59.5)),0,(J386-K386)*(1+'Retirement Planning'!$J$23/12))</f>
        <v>0</v>
      </c>
      <c r="K387" s="58">
        <f t="shared" ca="1" si="141"/>
        <v>0</v>
      </c>
      <c r="L387" s="57">
        <f>IF(AND(OR(B387&gt;59.5,B387=59.5),B386&lt;59.5),0,(L386-M386)*(1+'Retirement Planning'!$J$23/12))</f>
        <v>0</v>
      </c>
      <c r="M387" s="59">
        <f>IF(AND($B$10&lt;55,B387&lt;59.5),0,IF(B387&lt;59.5,MAX(0,MIN((($Y387+$AJ387+AA387)*'Retirement Planning'!$J$44)-$G387-$X387,L387)),0))</f>
        <v>0</v>
      </c>
      <c r="N387" s="57">
        <f ca="1">(N386-O386)*(1+'Retirement Planning'!$J$23/12)</f>
        <v>0</v>
      </c>
      <c r="O387" s="59">
        <f ca="1">IF(B387&gt;59.5,MAX(0,MIN((AA387+$Y387+$AJ387)*(IF(D387&lt;(MIN(E375:E386)+1),1,'Retirement Planning'!$J$44))-M387-$G387-$X387-(IF(D387&lt;(MIN(E375:E386)+1),D387,0)),N387)),0)</f>
        <v>0</v>
      </c>
      <c r="P387" s="57">
        <f t="shared" si="153"/>
        <v>0</v>
      </c>
      <c r="Q387" s="58">
        <f t="shared" si="154"/>
        <v>0</v>
      </c>
      <c r="R387" s="57">
        <f ca="1">(R386-S386-T386)*(1+'Retirement Planning'!$J$23/12)</f>
        <v>1375061.8318419463</v>
      </c>
      <c r="S387" s="58">
        <f t="shared" ca="1" si="155"/>
        <v>808.33333333333337</v>
      </c>
      <c r="T387" s="273">
        <f t="shared" ca="1" si="142"/>
        <v>-3.1832314562052488E-12</v>
      </c>
      <c r="U387" s="57">
        <f ca="1">(U386-V386)*(1+'Retirement Planning'!$J$23/12)</f>
        <v>797250.65630481706</v>
      </c>
      <c r="V387" s="24">
        <f ca="1">IF(AND($B$10&lt;55,B387&lt;59.5),MIN(U387,MAX(0,(Y387+AA387+AJ387-G387)*'Retirement Planning'!$J$45)),IF(B387&lt;59.5,(MIN(U387,MAX(0,((Y387+AA387+AJ387)-G387-M387)*'Retirement Planning'!$J$45))),MIN(U387,MAX(0,(Y387+AA387+AJ387-G387-M387-K387-X387)*'Retirement Planning'!$J$45))))</f>
        <v>1723.2732869002286</v>
      </c>
      <c r="W387" s="7">
        <f t="shared" ca="1" si="143"/>
        <v>4213187.8392962376</v>
      </c>
      <c r="X387" s="7">
        <f>(IF(B387&gt;'Retirement Planning'!$J$34,IF('Retirement Planning'!$J$34=70,'Retirement Planning'!$J$37/12,IF('Retirement Planning'!$J$34=67,'Retirement Planning'!$J$36/12,'Retirement Planning'!$J$35/12)),0))*'Retirement Planning'!$J$38</f>
        <v>1213.6000000000001</v>
      </c>
      <c r="Y387" s="7">
        <f ca="1">'Retirement Planning'!$F$35*((1+'Retirement Planning'!$J$24)^(YEAR('Projected Retirement Drawdown'!C387)-YEAR(TODAY())))</f>
        <v>15081.552922626232</v>
      </c>
      <c r="Z387" s="7">
        <f ca="1">G387+M387+O387+0.85*X387+V387*'Retirement Planning'!$J$46+T387</f>
        <v>16736.599694399061</v>
      </c>
      <c r="AA387" s="7">
        <f ca="1">IF(MONTH(C387)=1,(((MIN(MAX(0,((SUM(Z375:Z386)-'Retirement Planning'!$I$53-'Retirement Planning'!$I$54)-'Retirement Planning'!$J$51)*'Retirement Planning'!$I$52))))+(MIN(MAX(0,((SUM(Z375:Z386)-'Retirement Planning'!$I$53-'Retirement Planning'!$I$54)-'Retirement Planning'!$J$50)*'Retirement Planning'!$I$51),('Retirement Planning'!$J$51-'Retirement Planning'!$J$50)*'Retirement Planning'!$I$51))+(MIN(MAX(0,((SUM(Z375:Z386)-'Retirement Planning'!$I$53-'Retirement Planning'!$I$54)-'Retirement Planning'!$J$49)*'Retirement Planning'!$I$50),('Retirement Planning'!$J$50-'Retirement Planning'!$J$49)*'Retirement Planning'!$I$50)+MIN(MAX(0,((SUM(Z375:Z386)-'Retirement Planning'!$I$53-'Retirement Planning'!$I$54)-'Retirement Planning'!$J$48)*'Retirement Planning'!$I$49),('Retirement Planning'!$J$49-'Retirement Planning'!$J$48)*'Retirement Planning'!$I$49)+MIN(((SUM(Z375:Z386)-'Retirement Planning'!$I$53-'Retirement Planning'!$I$54))*'Retirement Planning'!$I$48,('Retirement Planning'!$J$48)*'Retirement Planning'!$I$48))+(IF((SUM(Z375:Z386)-'Retirement Planning'!$I$54-'Retirement Planning'!$I$61)&gt;'Retirement Planning'!$J$59,(SUM(Z375:Z386)-'Retirement Planning'!$I$54-'Retirement Planning'!$I$61-'Retirement Planning'!$J$59)*'Retirement Planning'!$I$60+'Retirement Planning'!$K$59,IF((SUM(Z375:Z386)-'Retirement Planning'!$I$54-'Retirement Planning'!$I$61)&gt;'Retirement Planning'!$J$58,(SUM(Z375:Z386)-'Retirement Planning'!$I$54-'Retirement Planning'!$I$61-'Retirement Planning'!$J$58)*'Retirement Planning'!$I$59+'Retirement Planning'!$K$58,IF((SUM(Z375:Z386)-'Retirement Planning'!$I$54-'Retirement Planning'!$I$61)&gt;'Retirement Planning'!$J$57,(SUM(Z375:Z386)-'Retirement Planning'!$I$54-'Retirement Planning'!$I$61-'Retirement Planning'!$J$57)*'Retirement Planning'!$I$58+'Retirement Planning'!$K$57,IF((SUM(Z375:Z386)-'Retirement Planning'!$I$54-'Retirement Planning'!$I$61)&gt;'Retirement Planning'!$J$56,(SUM(Z375:Z386)-'Retirement Planning'!$I$54-'Retirement Planning'!$I$61-'Retirement Planning'!$J$56)*'Retirement Planning'!$I$57+'Retirement Planning'!$K$56,(SUM(Z375:Z386)-'Retirement Planning'!$I$54-'Retirement Planning'!$I$61)*'Retirement Planning'!$I$56))))))/12,AA386)</f>
        <v>4318.8660731811005</v>
      </c>
      <c r="AB387" s="104">
        <f t="shared" ca="1" si="164"/>
        <v>0.26763236439401145</v>
      </c>
      <c r="AC387" s="7">
        <f>IF(B387&lt;65,'Retirement Planning'!$J$28,0)</f>
        <v>0</v>
      </c>
      <c r="AD387" s="7">
        <f>IF(B387&lt;65,'Retirement Planning'!$J$29/12,0)</f>
        <v>0</v>
      </c>
      <c r="AE387" s="22">
        <f>'Retirement Planning'!$J$31/12</f>
        <v>58.333333333333336</v>
      </c>
      <c r="AF387" s="22">
        <f>'Retirement Planning'!$J$32/12</f>
        <v>66.666666666666671</v>
      </c>
      <c r="AG387" s="7">
        <f>IF($B387&gt;64.9,'Retirement Planning'!$J$39/12,0)</f>
        <v>183.33333333333334</v>
      </c>
      <c r="AH387" s="7">
        <f>IF($B387&gt;64.9,'Retirement Planning'!$J$40/12,0)</f>
        <v>258.33333333333331</v>
      </c>
      <c r="AI387" s="7">
        <f>IF($B387&gt;64.9,'Retirement Planning'!$J$41/12,0)</f>
        <v>558.33333333333337</v>
      </c>
      <c r="AJ387" s="7">
        <f t="shared" ca="1" si="144"/>
        <v>316.66666666666663</v>
      </c>
      <c r="AK387" s="3" t="str">
        <f t="shared" ca="1" si="162"/>
        <v>N/A</v>
      </c>
      <c r="AL387" s="6" t="str">
        <f t="shared" ca="1" si="163"/>
        <v>N/A</v>
      </c>
      <c r="AM387" s="7">
        <f t="shared" ca="1" si="147"/>
        <v>-6.8212102632969618E-13</v>
      </c>
      <c r="AN387" s="7">
        <f t="shared" ca="1" si="148"/>
        <v>20525.418995807333</v>
      </c>
      <c r="AO387" s="7">
        <f t="shared" si="149"/>
        <v>1125</v>
      </c>
    </row>
    <row r="388" spans="1:41" x14ac:dyDescent="0.2">
      <c r="A388">
        <f t="shared" si="150"/>
        <v>50</v>
      </c>
      <c r="B388" s="5">
        <f t="shared" si="151"/>
        <v>87.8</v>
      </c>
      <c r="C388" s="56">
        <f t="shared" si="152"/>
        <v>57923</v>
      </c>
      <c r="D388" s="57">
        <f ca="1">IF(AND(B387&lt;59.5,OR(B388&gt;59.5,B388=59.5)),(D387-E387+J387-K387)*(1+'Retirement Planning'!$J$23/12),(D387-E387)*(1+'Retirement Planning'!$J$23/12))</f>
        <v>982564.3727402119</v>
      </c>
      <c r="E388" s="58">
        <f t="shared" ca="1" si="139"/>
        <v>2022.9729889698356</v>
      </c>
      <c r="F388" s="57">
        <f ca="1">IF(AND(OR(B388&gt;59.5,B388=59.5),B387&lt;59.5),(F387-G387+L387-M387+N387-O387)*(1+'Retirement Planning'!$J$23/12),(F387-G387)*(1+'Retirement Planning'!$J$23/12))</f>
        <v>1055868.1066000042</v>
      </c>
      <c r="G388" s="58">
        <f ca="1">IF(AND($B$10&lt;55,B388&lt;59.5),'Retirement Planning'!$J$25,IF(OR(B388&gt;59.5,B388=59.5),MAX(0,MIN(F388,IF(D388&lt;2500,((Y388+AJ388+AA388))-X388,((Y388+AJ388+AA388)*'Retirement Planning'!$J$44)-X388))),0))</f>
        <v>14757.239386603938</v>
      </c>
      <c r="H388" s="255">
        <f ca="1">IF(MONTH(C388)=1,IF(B388&gt;69.5,F388/(INDEX('Retirement Planning'!D$1:D$264,(160+INT(B388))))/12,0),IF(F388=0,0,H387))</f>
        <v>12982.551306622787</v>
      </c>
      <c r="I388" s="262">
        <f t="shared" ca="1" si="140"/>
        <v>0</v>
      </c>
      <c r="J388" s="254">
        <f ca="1">IF(AND(B387&lt;59.5,OR(B388=59.5,B388&gt;59.5)),0,(J387-K387)*(1+'Retirement Planning'!$J$23/12))</f>
        <v>0</v>
      </c>
      <c r="K388" s="58">
        <f t="shared" ca="1" si="141"/>
        <v>0</v>
      </c>
      <c r="L388" s="57">
        <f>IF(AND(OR(B388&gt;59.5,B388=59.5),B387&lt;59.5),0,(L387-M387)*(1+'Retirement Planning'!$J$23/12))</f>
        <v>0</v>
      </c>
      <c r="M388" s="59">
        <f>IF(AND($B$10&lt;55,B388&lt;59.5),0,IF(B388&lt;59.5,MAX(0,MIN((($Y388+$AJ388+AA388)*'Retirement Planning'!$J$44)-$G388-$X388,L388)),0))</f>
        <v>0</v>
      </c>
      <c r="N388" s="57">
        <f ca="1">(N387-O387)*(1+'Retirement Planning'!$J$23/12)</f>
        <v>0</v>
      </c>
      <c r="O388" s="59">
        <f ca="1">IF(B388&gt;59.5,MAX(0,MIN((AA388+$Y388+$AJ388)*(IF(D388&lt;(MIN(E376:E387)+1),1,'Retirement Planning'!$J$44))-M388-$G388-$X388-(IF(D388&lt;(MIN(E376:E387)+1),D388,0)),N388)),0)</f>
        <v>0</v>
      </c>
      <c r="P388" s="57">
        <f t="shared" si="153"/>
        <v>0</v>
      </c>
      <c r="Q388" s="58">
        <f t="shared" si="154"/>
        <v>0</v>
      </c>
      <c r="R388" s="57">
        <f ca="1">(R387-S387-T387)*(1+'Retirement Planning'!$J$23/12)</f>
        <v>1383987.7941230491</v>
      </c>
      <c r="S388" s="58">
        <f t="shared" ca="1" si="155"/>
        <v>808.33333333333337</v>
      </c>
      <c r="T388" s="273">
        <f t="shared" ca="1" si="142"/>
        <v>-3.1832314562052488E-12</v>
      </c>
      <c r="U388" s="57">
        <f ca="1">(U387-V387)*(1+'Retirement Planning'!$J$23/12)</f>
        <v>801162.36864762707</v>
      </c>
      <c r="V388" s="24">
        <f ca="1">IF(AND($B$10&lt;55,B388&lt;59.5),MIN(U388,MAX(0,(Y388+AA388+AJ388-G388)*'Retirement Planning'!$J$45)),IF(B388&lt;59.5,(MIN(U388,MAX(0,((Y388+AA388+AJ388)-G388-M388)*'Retirement Planning'!$J$45))),MIN(U388,MAX(0,(Y388+AA388+AJ388-G388-M388-K388-X388)*'Retirement Planning'!$J$45))))</f>
        <v>1723.2732869002286</v>
      </c>
      <c r="W388" s="7">
        <f t="shared" ca="1" si="143"/>
        <v>4223582.6421108916</v>
      </c>
      <c r="X388" s="7">
        <f>(IF(B388&gt;'Retirement Planning'!$J$34,IF('Retirement Planning'!$J$34=70,'Retirement Planning'!$J$37/12,IF('Retirement Planning'!$J$34=67,'Retirement Planning'!$J$36/12,'Retirement Planning'!$J$35/12)),0))*'Retirement Planning'!$J$38</f>
        <v>1213.6000000000001</v>
      </c>
      <c r="Y388" s="7">
        <f ca="1">'Retirement Planning'!$F$35*((1+'Retirement Planning'!$J$24)^(YEAR('Projected Retirement Drawdown'!C388)-YEAR(TODAY())))</f>
        <v>15081.552922626232</v>
      </c>
      <c r="Z388" s="7">
        <f ca="1">G388+M388+O388+0.85*X388+V388*'Retirement Planning'!$J$46+T388</f>
        <v>16736.599694399061</v>
      </c>
      <c r="AA388" s="7">
        <f ca="1">IF(MONTH(C388)=1,(((MIN(MAX(0,((SUM(Z376:Z387)-'Retirement Planning'!$I$53-'Retirement Planning'!$I$54)-'Retirement Planning'!$J$51)*'Retirement Planning'!$I$52))))+(MIN(MAX(0,((SUM(Z376:Z387)-'Retirement Planning'!$I$53-'Retirement Planning'!$I$54)-'Retirement Planning'!$J$50)*'Retirement Planning'!$I$51),('Retirement Planning'!$J$51-'Retirement Planning'!$J$50)*'Retirement Planning'!$I$51))+(MIN(MAX(0,((SUM(Z376:Z387)-'Retirement Planning'!$I$53-'Retirement Planning'!$I$54)-'Retirement Planning'!$J$49)*'Retirement Planning'!$I$50),('Retirement Planning'!$J$50-'Retirement Planning'!$J$49)*'Retirement Planning'!$I$50)+MIN(MAX(0,((SUM(Z376:Z387)-'Retirement Planning'!$I$53-'Retirement Planning'!$I$54)-'Retirement Planning'!$J$48)*'Retirement Planning'!$I$49),('Retirement Planning'!$J$49-'Retirement Planning'!$J$48)*'Retirement Planning'!$I$49)+MIN(((SUM(Z376:Z387)-'Retirement Planning'!$I$53-'Retirement Planning'!$I$54))*'Retirement Planning'!$I$48,('Retirement Planning'!$J$48)*'Retirement Planning'!$I$48))+(IF((SUM(Z376:Z387)-'Retirement Planning'!$I$54-'Retirement Planning'!$I$61)&gt;'Retirement Planning'!$J$59,(SUM(Z376:Z387)-'Retirement Planning'!$I$54-'Retirement Planning'!$I$61-'Retirement Planning'!$J$59)*'Retirement Planning'!$I$60+'Retirement Planning'!$K$59,IF((SUM(Z376:Z387)-'Retirement Planning'!$I$54-'Retirement Planning'!$I$61)&gt;'Retirement Planning'!$J$58,(SUM(Z376:Z387)-'Retirement Planning'!$I$54-'Retirement Planning'!$I$61-'Retirement Planning'!$J$58)*'Retirement Planning'!$I$59+'Retirement Planning'!$K$58,IF((SUM(Z376:Z387)-'Retirement Planning'!$I$54-'Retirement Planning'!$I$61)&gt;'Retirement Planning'!$J$57,(SUM(Z376:Z387)-'Retirement Planning'!$I$54-'Retirement Planning'!$I$61-'Retirement Planning'!$J$57)*'Retirement Planning'!$I$58+'Retirement Planning'!$K$57,IF((SUM(Z376:Z387)-'Retirement Planning'!$I$54-'Retirement Planning'!$I$61)&gt;'Retirement Planning'!$J$56,(SUM(Z376:Z387)-'Retirement Planning'!$I$54-'Retirement Planning'!$I$61-'Retirement Planning'!$J$56)*'Retirement Planning'!$I$57+'Retirement Planning'!$K$56,(SUM(Z376:Z387)-'Retirement Planning'!$I$54-'Retirement Planning'!$I$61)*'Retirement Planning'!$I$56))))))/12,AA387)</f>
        <v>4318.8660731811005</v>
      </c>
      <c r="AB388" s="104">
        <f t="shared" ca="1" si="164"/>
        <v>0.26763236439401145</v>
      </c>
      <c r="AC388" s="7">
        <f>IF(B388&lt;65,'Retirement Planning'!$J$28,0)</f>
        <v>0</v>
      </c>
      <c r="AD388" s="7">
        <f>IF(B388&lt;65,'Retirement Planning'!$J$29/12,0)</f>
        <v>0</v>
      </c>
      <c r="AE388" s="22">
        <f>'Retirement Planning'!$J$31/12</f>
        <v>58.333333333333336</v>
      </c>
      <c r="AF388" s="22">
        <f>'Retirement Planning'!$J$32/12</f>
        <v>66.666666666666671</v>
      </c>
      <c r="AG388" s="7">
        <f>IF($B388&gt;64.9,'Retirement Planning'!$J$39/12,0)</f>
        <v>183.33333333333334</v>
      </c>
      <c r="AH388" s="7">
        <f>IF($B388&gt;64.9,'Retirement Planning'!$J$40/12,0)</f>
        <v>258.33333333333331</v>
      </c>
      <c r="AI388" s="7">
        <f>IF($B388&gt;64.9,'Retirement Planning'!$J$41/12,0)</f>
        <v>558.33333333333337</v>
      </c>
      <c r="AJ388" s="7">
        <f t="shared" ca="1" si="144"/>
        <v>316.66666666666663</v>
      </c>
      <c r="AK388" s="3" t="str">
        <f t="shared" ca="1" si="162"/>
        <v>N/A</v>
      </c>
      <c r="AL388" s="6" t="str">
        <f t="shared" ca="1" si="163"/>
        <v>N/A</v>
      </c>
      <c r="AM388" s="7">
        <f t="shared" ca="1" si="147"/>
        <v>-6.8212102632969618E-13</v>
      </c>
      <c r="AN388" s="7">
        <f t="shared" ca="1" si="148"/>
        <v>20525.418995807333</v>
      </c>
      <c r="AO388" s="7">
        <f t="shared" si="149"/>
        <v>1125</v>
      </c>
    </row>
    <row r="389" spans="1:41" x14ac:dyDescent="0.2">
      <c r="A389">
        <f t="shared" si="150"/>
        <v>50</v>
      </c>
      <c r="B389" s="5">
        <f t="shared" si="151"/>
        <v>87.9</v>
      </c>
      <c r="C389" s="56">
        <f t="shared" si="152"/>
        <v>57954</v>
      </c>
      <c r="D389" s="57">
        <f ca="1">IF(AND(B388&lt;59.5,OR(B389&gt;59.5,B389=59.5)),(D388-E388+J388-K388)*(1+'Retirement Planning'!$J$23/12),(D388-E388)*(1+'Retirement Planning'!$J$23/12))</f>
        <v>987486.90133281332</v>
      </c>
      <c r="E389" s="58">
        <f t="shared" ca="1" si="139"/>
        <v>2022.9729889698356</v>
      </c>
      <c r="F389" s="57">
        <f ca="1">IF(AND(OR(B389&gt;59.5,B389=59.5),B388&lt;59.5),(F388-G388+L388-M388+N388-O388)*(1+'Retirement Planning'!$J$23/12),(F388-G388)*(1+'Retirement Planning'!$J$23/12))</f>
        <v>1048485.4025228285</v>
      </c>
      <c r="G389" s="58">
        <f ca="1">IF(AND($B$10&lt;55,B389&lt;59.5),'Retirement Planning'!$J$25,IF(OR(B389&gt;59.5,B389=59.5),MAX(0,MIN(F389,IF(D389&lt;2500,((Y389+AJ389+AA389))-X389,((Y389+AJ389+AA389)*'Retirement Planning'!$J$44)-X389))),0))</f>
        <v>14757.239386603938</v>
      </c>
      <c r="H389" s="255">
        <f ca="1">IF(MONTH(C389)=1,IF(B389&gt;69.5,F389/(INDEX('Retirement Planning'!D$1:D$264,(160+INT(B389))))/12,0),IF(F389=0,0,H388))</f>
        <v>12982.551306622787</v>
      </c>
      <c r="I389" s="262">
        <f t="shared" ca="1" si="140"/>
        <v>0</v>
      </c>
      <c r="J389" s="254">
        <f ca="1">IF(AND(B388&lt;59.5,OR(B389=59.5,B389&gt;59.5)),0,(J388-K388)*(1+'Retirement Planning'!$J$23/12))</f>
        <v>0</v>
      </c>
      <c r="K389" s="58">
        <f t="shared" ca="1" si="141"/>
        <v>0</v>
      </c>
      <c r="L389" s="57">
        <f>IF(AND(OR(B389&gt;59.5,B389=59.5),B388&lt;59.5),0,(L388-M388)*(1+'Retirement Planning'!$J$23/12))</f>
        <v>0</v>
      </c>
      <c r="M389" s="59">
        <f>IF(AND($B$10&lt;55,B389&lt;59.5),0,IF(B389&lt;59.5,MAX(0,MIN((($Y389+$AJ389+AA389)*'Retirement Planning'!$J$44)-$G389-$X389,L389)),0))</f>
        <v>0</v>
      </c>
      <c r="N389" s="57">
        <f ca="1">(N388-O388)*(1+'Retirement Planning'!$J$23/12)</f>
        <v>0</v>
      </c>
      <c r="O389" s="59">
        <f ca="1">IF(B389&gt;59.5,MAX(0,MIN((AA389+$Y389+$AJ389)*(IF(D389&lt;(MIN(E377:E388)+1),1,'Retirement Planning'!$J$44))-M389-$G389-$X389-(IF(D389&lt;(MIN(E377:E388)+1),D389,0)),N389)),0)</f>
        <v>0</v>
      </c>
      <c r="P389" s="57">
        <f t="shared" si="153"/>
        <v>0</v>
      </c>
      <c r="Q389" s="58">
        <f t="shared" si="154"/>
        <v>0</v>
      </c>
      <c r="R389" s="57">
        <f ca="1">(R388-S388-T388)*(1+'Retirement Planning'!$J$23/12)</f>
        <v>1392976.9819703097</v>
      </c>
      <c r="S389" s="58">
        <f t="shared" ca="1" si="155"/>
        <v>808.33333333333337</v>
      </c>
      <c r="T389" s="273">
        <f t="shared" ca="1" si="142"/>
        <v>-3.1832314562052488E-12</v>
      </c>
      <c r="U389" s="57">
        <f ca="1">(U388-V388)*(1+'Retirement Planning'!$J$23/12)</f>
        <v>805101.78895286529</v>
      </c>
      <c r="V389" s="24">
        <f ca="1">IF(AND($B$10&lt;55,B389&lt;59.5),MIN(U389,MAX(0,(Y389+AA389+AJ389-G389)*'Retirement Planning'!$J$45)),IF(B389&lt;59.5,(MIN(U389,MAX(0,((Y389+AA389+AJ389)-G389-M389)*'Retirement Planning'!$J$45))),MIN(U389,MAX(0,(Y389+AA389+AJ389-G389-M389-K389-X389)*'Retirement Planning'!$J$45))))</f>
        <v>1723.2732869002286</v>
      </c>
      <c r="W389" s="7">
        <f t="shared" ca="1" si="143"/>
        <v>4234051.0747788167</v>
      </c>
      <c r="X389" s="7">
        <f>(IF(B389&gt;'Retirement Planning'!$J$34,IF('Retirement Planning'!$J$34=70,'Retirement Planning'!$J$37/12,IF('Retirement Planning'!$J$34=67,'Retirement Planning'!$J$36/12,'Retirement Planning'!$J$35/12)),0))*'Retirement Planning'!$J$38</f>
        <v>1213.6000000000001</v>
      </c>
      <c r="Y389" s="7">
        <f ca="1">'Retirement Planning'!$F$35*((1+'Retirement Planning'!$J$24)^(YEAR('Projected Retirement Drawdown'!C389)-YEAR(TODAY())))</f>
        <v>15081.552922626232</v>
      </c>
      <c r="Z389" s="7">
        <f ca="1">G389+M389+O389+0.85*X389+V389*'Retirement Planning'!$J$46+T389</f>
        <v>16736.599694399061</v>
      </c>
      <c r="AA389" s="7">
        <f ca="1">IF(MONTH(C389)=1,(((MIN(MAX(0,((SUM(Z377:Z388)-'Retirement Planning'!$I$53-'Retirement Planning'!$I$54)-'Retirement Planning'!$J$51)*'Retirement Planning'!$I$52))))+(MIN(MAX(0,((SUM(Z377:Z388)-'Retirement Planning'!$I$53-'Retirement Planning'!$I$54)-'Retirement Planning'!$J$50)*'Retirement Planning'!$I$51),('Retirement Planning'!$J$51-'Retirement Planning'!$J$50)*'Retirement Planning'!$I$51))+(MIN(MAX(0,((SUM(Z377:Z388)-'Retirement Planning'!$I$53-'Retirement Planning'!$I$54)-'Retirement Planning'!$J$49)*'Retirement Planning'!$I$50),('Retirement Planning'!$J$50-'Retirement Planning'!$J$49)*'Retirement Planning'!$I$50)+MIN(MAX(0,((SUM(Z377:Z388)-'Retirement Planning'!$I$53-'Retirement Planning'!$I$54)-'Retirement Planning'!$J$48)*'Retirement Planning'!$I$49),('Retirement Planning'!$J$49-'Retirement Planning'!$J$48)*'Retirement Planning'!$I$49)+MIN(((SUM(Z377:Z388)-'Retirement Planning'!$I$53-'Retirement Planning'!$I$54))*'Retirement Planning'!$I$48,('Retirement Planning'!$J$48)*'Retirement Planning'!$I$48))+(IF((SUM(Z377:Z388)-'Retirement Planning'!$I$54-'Retirement Planning'!$I$61)&gt;'Retirement Planning'!$J$59,(SUM(Z377:Z388)-'Retirement Planning'!$I$54-'Retirement Planning'!$I$61-'Retirement Planning'!$J$59)*'Retirement Planning'!$I$60+'Retirement Planning'!$K$59,IF((SUM(Z377:Z388)-'Retirement Planning'!$I$54-'Retirement Planning'!$I$61)&gt;'Retirement Planning'!$J$58,(SUM(Z377:Z388)-'Retirement Planning'!$I$54-'Retirement Planning'!$I$61-'Retirement Planning'!$J$58)*'Retirement Planning'!$I$59+'Retirement Planning'!$K$58,IF((SUM(Z377:Z388)-'Retirement Planning'!$I$54-'Retirement Planning'!$I$61)&gt;'Retirement Planning'!$J$57,(SUM(Z377:Z388)-'Retirement Planning'!$I$54-'Retirement Planning'!$I$61-'Retirement Planning'!$J$57)*'Retirement Planning'!$I$58+'Retirement Planning'!$K$57,IF((SUM(Z377:Z388)-'Retirement Planning'!$I$54-'Retirement Planning'!$I$61)&gt;'Retirement Planning'!$J$56,(SUM(Z377:Z388)-'Retirement Planning'!$I$54-'Retirement Planning'!$I$61-'Retirement Planning'!$J$56)*'Retirement Planning'!$I$57+'Retirement Planning'!$K$56,(SUM(Z377:Z388)-'Retirement Planning'!$I$54-'Retirement Planning'!$I$61)*'Retirement Planning'!$I$56))))))/12,AA388)</f>
        <v>4318.8660731811005</v>
      </c>
      <c r="AB389" s="104">
        <f t="shared" ca="1" si="164"/>
        <v>0.26763236439401145</v>
      </c>
      <c r="AC389" s="7">
        <f>IF(B389&lt;65,'Retirement Planning'!$J$28,0)</f>
        <v>0</v>
      </c>
      <c r="AD389" s="7">
        <f>IF(B389&lt;65,'Retirement Planning'!$J$29/12,0)</f>
        <v>0</v>
      </c>
      <c r="AE389" s="22">
        <f>'Retirement Planning'!$J$31/12</f>
        <v>58.333333333333336</v>
      </c>
      <c r="AF389" s="22">
        <f>'Retirement Planning'!$J$32/12</f>
        <v>66.666666666666671</v>
      </c>
      <c r="AG389" s="7">
        <f>IF($B389&gt;64.9,'Retirement Planning'!$J$39/12,0)</f>
        <v>183.33333333333334</v>
      </c>
      <c r="AH389" s="7">
        <f>IF($B389&gt;64.9,'Retirement Planning'!$J$40/12,0)</f>
        <v>258.33333333333331</v>
      </c>
      <c r="AI389" s="7">
        <f>IF($B389&gt;64.9,'Retirement Planning'!$J$41/12,0)</f>
        <v>558.33333333333337</v>
      </c>
      <c r="AJ389" s="7">
        <f t="shared" ca="1" si="144"/>
        <v>316.66666666666663</v>
      </c>
      <c r="AK389" s="3" t="str">
        <f t="shared" ca="1" si="162"/>
        <v>N/A</v>
      </c>
      <c r="AL389" s="6" t="str">
        <f t="shared" ca="1" si="163"/>
        <v>N/A</v>
      </c>
      <c r="AM389" s="7">
        <f t="shared" ca="1" si="147"/>
        <v>-6.8212102632969618E-13</v>
      </c>
      <c r="AN389" s="7">
        <f t="shared" ca="1" si="148"/>
        <v>20525.418995807333</v>
      </c>
      <c r="AO389" s="7">
        <f t="shared" si="149"/>
        <v>1125</v>
      </c>
    </row>
    <row r="390" spans="1:41" x14ac:dyDescent="0.2">
      <c r="A390">
        <f t="shared" si="150"/>
        <v>50</v>
      </c>
      <c r="B390" s="5">
        <f t="shared" si="151"/>
        <v>88</v>
      </c>
      <c r="C390" s="56">
        <f t="shared" si="152"/>
        <v>57984</v>
      </c>
      <c r="D390" s="57">
        <f ca="1">IF(AND(B389&lt;59.5,OR(B390&gt;59.5,B390=59.5)),(D389-E389+J389-K389)*(1+'Retirement Planning'!$J$23/12),(D389-E389)*(1+'Retirement Planning'!$J$23/12))</f>
        <v>992444.29783627903</v>
      </c>
      <c r="E390" s="58">
        <f t="shared" ca="1" si="139"/>
        <v>2022.9729889698356</v>
      </c>
      <c r="F390" s="57">
        <f ca="1">IF(AND(OR(B390&gt;59.5,B390=59.5),B389&lt;59.5),(F389-G389+L389-M389+N389-O389)*(1+'Retirement Planning'!$J$23/12),(F389-G389)*(1+'Retirement Planning'!$J$23/12))</f>
        <v>1041050.4042917729</v>
      </c>
      <c r="G390" s="58">
        <f ca="1">IF(AND($B$10&lt;55,B390&lt;59.5),'Retirement Planning'!$J$25,IF(OR(B390&gt;59.5,B390=59.5),MAX(0,MIN(F390,IF(D390&lt;2500,((Y390+AJ390+AA390))-X390,((Y390+AJ390+AA390)*'Retirement Planning'!$J$44)-X390))),0))</f>
        <v>14757.239386603938</v>
      </c>
      <c r="H390" s="255">
        <f ca="1">IF(MONTH(C390)=1,IF(B390&gt;69.5,F390/(INDEX('Retirement Planning'!D$1:D$264,(160+INT(B390))))/12,0),IF(F390=0,0,H389))</f>
        <v>12982.551306622787</v>
      </c>
      <c r="I390" s="262">
        <f t="shared" ca="1" si="140"/>
        <v>0</v>
      </c>
      <c r="J390" s="254">
        <f ca="1">IF(AND(B389&lt;59.5,OR(B390=59.5,B390&gt;59.5)),0,(J389-K389)*(1+'Retirement Planning'!$J$23/12))</f>
        <v>0</v>
      </c>
      <c r="K390" s="58">
        <f t="shared" ca="1" si="141"/>
        <v>0</v>
      </c>
      <c r="L390" s="57">
        <f>IF(AND(OR(B390&gt;59.5,B390=59.5),B389&lt;59.5),0,(L389-M389)*(1+'Retirement Planning'!$J$23/12))</f>
        <v>0</v>
      </c>
      <c r="M390" s="59">
        <f>IF(AND($B$10&lt;55,B390&lt;59.5),0,IF(B390&lt;59.5,MAX(0,MIN((($Y390+$AJ390+AA390)*'Retirement Planning'!$J$44)-$G390-$X390,L390)),0))</f>
        <v>0</v>
      </c>
      <c r="N390" s="57">
        <f ca="1">(N389-O389)*(1+'Retirement Planning'!$J$23/12)</f>
        <v>0</v>
      </c>
      <c r="O390" s="59">
        <f ca="1">IF(B390&gt;59.5,MAX(0,MIN((AA390+$Y390+$AJ390)*(IF(D390&lt;(MIN(E378:E389)+1),1,'Retirement Planning'!$J$44))-M390-$G390-$X390-(IF(D390&lt;(MIN(E378:E389)+1),D390,0)),N390)),0)</f>
        <v>0</v>
      </c>
      <c r="P390" s="57">
        <f t="shared" si="153"/>
        <v>0</v>
      </c>
      <c r="Q390" s="58">
        <f t="shared" si="154"/>
        <v>0</v>
      </c>
      <c r="R390" s="57">
        <f ca="1">(R389-S389-T389)*(1+'Retirement Planning'!$J$23/12)</f>
        <v>1402029.8432314885</v>
      </c>
      <c r="S390" s="58">
        <f t="shared" ca="1" si="155"/>
        <v>808.33333333333337</v>
      </c>
      <c r="T390" s="273">
        <f t="shared" ca="1" si="142"/>
        <v>-3.1832314562052488E-12</v>
      </c>
      <c r="U390" s="57">
        <f ca="1">(U389-V389)*(1+'Retirement Planning'!$J$23/12)</f>
        <v>809069.11348526564</v>
      </c>
      <c r="V390" s="24">
        <f ca="1">IF(AND($B$10&lt;55,B390&lt;59.5),MIN(U390,MAX(0,(Y390+AA390+AJ390-G390)*'Retirement Planning'!$J$45)),IF(B390&lt;59.5,(MIN(U390,MAX(0,((Y390+AA390+AJ390)-G390-M390)*'Retirement Planning'!$J$45))),MIN(U390,MAX(0,(Y390+AA390+AJ390-G390-M390-K390-X390)*'Retirement Planning'!$J$45))))</f>
        <v>1723.2732869002286</v>
      </c>
      <c r="W390" s="7">
        <f t="shared" ca="1" si="143"/>
        <v>4244593.6588448063</v>
      </c>
      <c r="X390" s="7">
        <f>(IF(B390&gt;'Retirement Planning'!$J$34,IF('Retirement Planning'!$J$34=70,'Retirement Planning'!$J$37/12,IF('Retirement Planning'!$J$34=67,'Retirement Planning'!$J$36/12,'Retirement Planning'!$J$35/12)),0))*'Retirement Planning'!$J$38</f>
        <v>1213.6000000000001</v>
      </c>
      <c r="Y390" s="7">
        <f ca="1">'Retirement Planning'!$F$35*((1+'Retirement Planning'!$J$24)^(YEAR('Projected Retirement Drawdown'!C390)-YEAR(TODAY())))</f>
        <v>15081.552922626232</v>
      </c>
      <c r="Z390" s="7">
        <f ca="1">G390+M390+O390+0.85*X390+V390*'Retirement Planning'!$J$46+T390</f>
        <v>16736.599694399061</v>
      </c>
      <c r="AA390" s="7">
        <f ca="1">IF(MONTH(C390)=1,(((MIN(MAX(0,((SUM(Z378:Z389)-'Retirement Planning'!$I$53-'Retirement Planning'!$I$54)-'Retirement Planning'!$J$51)*'Retirement Planning'!$I$52))))+(MIN(MAX(0,((SUM(Z378:Z389)-'Retirement Planning'!$I$53-'Retirement Planning'!$I$54)-'Retirement Planning'!$J$50)*'Retirement Planning'!$I$51),('Retirement Planning'!$J$51-'Retirement Planning'!$J$50)*'Retirement Planning'!$I$51))+(MIN(MAX(0,((SUM(Z378:Z389)-'Retirement Planning'!$I$53-'Retirement Planning'!$I$54)-'Retirement Planning'!$J$49)*'Retirement Planning'!$I$50),('Retirement Planning'!$J$50-'Retirement Planning'!$J$49)*'Retirement Planning'!$I$50)+MIN(MAX(0,((SUM(Z378:Z389)-'Retirement Planning'!$I$53-'Retirement Planning'!$I$54)-'Retirement Planning'!$J$48)*'Retirement Planning'!$I$49),('Retirement Planning'!$J$49-'Retirement Planning'!$J$48)*'Retirement Planning'!$I$49)+MIN(((SUM(Z378:Z389)-'Retirement Planning'!$I$53-'Retirement Planning'!$I$54))*'Retirement Planning'!$I$48,('Retirement Planning'!$J$48)*'Retirement Planning'!$I$48))+(IF((SUM(Z378:Z389)-'Retirement Planning'!$I$54-'Retirement Planning'!$I$61)&gt;'Retirement Planning'!$J$59,(SUM(Z378:Z389)-'Retirement Planning'!$I$54-'Retirement Planning'!$I$61-'Retirement Planning'!$J$59)*'Retirement Planning'!$I$60+'Retirement Planning'!$K$59,IF((SUM(Z378:Z389)-'Retirement Planning'!$I$54-'Retirement Planning'!$I$61)&gt;'Retirement Planning'!$J$58,(SUM(Z378:Z389)-'Retirement Planning'!$I$54-'Retirement Planning'!$I$61-'Retirement Planning'!$J$58)*'Retirement Planning'!$I$59+'Retirement Planning'!$K$58,IF((SUM(Z378:Z389)-'Retirement Planning'!$I$54-'Retirement Planning'!$I$61)&gt;'Retirement Planning'!$J$57,(SUM(Z378:Z389)-'Retirement Planning'!$I$54-'Retirement Planning'!$I$61-'Retirement Planning'!$J$57)*'Retirement Planning'!$I$58+'Retirement Planning'!$K$57,IF((SUM(Z378:Z389)-'Retirement Planning'!$I$54-'Retirement Planning'!$I$61)&gt;'Retirement Planning'!$J$56,(SUM(Z378:Z389)-'Retirement Planning'!$I$54-'Retirement Planning'!$I$61-'Retirement Planning'!$J$56)*'Retirement Planning'!$I$57+'Retirement Planning'!$K$56,(SUM(Z378:Z389)-'Retirement Planning'!$I$54-'Retirement Planning'!$I$61)*'Retirement Planning'!$I$56))))))/12,AA389)</f>
        <v>4318.8660731811005</v>
      </c>
      <c r="AB390" s="104">
        <f t="shared" ca="1" si="164"/>
        <v>0.26763236439401145</v>
      </c>
      <c r="AC390" s="7">
        <f>IF(B390&lt;65,'Retirement Planning'!$J$28,0)</f>
        <v>0</v>
      </c>
      <c r="AD390" s="7">
        <f>IF(B390&lt;65,'Retirement Planning'!$J$29/12,0)</f>
        <v>0</v>
      </c>
      <c r="AE390" s="22">
        <f>'Retirement Planning'!$J$31/12</f>
        <v>58.333333333333336</v>
      </c>
      <c r="AF390" s="22">
        <f>'Retirement Planning'!$J$32/12</f>
        <v>66.666666666666671</v>
      </c>
      <c r="AG390" s="7">
        <f>IF($B390&gt;64.9,'Retirement Planning'!$J$39/12,0)</f>
        <v>183.33333333333334</v>
      </c>
      <c r="AH390" s="7">
        <f>IF($B390&gt;64.9,'Retirement Planning'!$J$40/12,0)</f>
        <v>258.33333333333331</v>
      </c>
      <c r="AI390" s="7">
        <f>IF($B390&gt;64.9,'Retirement Planning'!$J$41/12,0)</f>
        <v>558.33333333333337</v>
      </c>
      <c r="AJ390" s="7">
        <f t="shared" ca="1" si="144"/>
        <v>316.66666666666663</v>
      </c>
      <c r="AK390" s="3" t="str">
        <f t="shared" ca="1" si="162"/>
        <v>N/A</v>
      </c>
      <c r="AL390" s="6" t="str">
        <f t="shared" ca="1" si="163"/>
        <v>N/A</v>
      </c>
      <c r="AM390" s="7">
        <f t="shared" ca="1" si="147"/>
        <v>-6.8212102632969618E-13</v>
      </c>
      <c r="AN390" s="7">
        <f t="shared" ca="1" si="148"/>
        <v>20525.418995807333</v>
      </c>
      <c r="AO390" s="7">
        <f t="shared" si="149"/>
        <v>1125</v>
      </c>
    </row>
    <row r="391" spans="1:41" x14ac:dyDescent="0.2">
      <c r="A391">
        <f t="shared" si="150"/>
        <v>50</v>
      </c>
      <c r="B391" s="5">
        <f t="shared" si="151"/>
        <v>88</v>
      </c>
      <c r="C391" s="56">
        <f t="shared" si="152"/>
        <v>58015</v>
      </c>
      <c r="D391" s="57">
        <f ca="1">IF(AND(B390&lt;59.5,OR(B391&gt;59.5,B391=59.5)),(D390-E390+J390-K390)*(1+'Retirement Planning'!$J$23/12),(D390-E390)*(1+'Retirement Planning'!$J$23/12))</f>
        <v>997436.80923164426</v>
      </c>
      <c r="E391" s="58">
        <f t="shared" ca="1" si="139"/>
        <v>2022.9729889698356</v>
      </c>
      <c r="F391" s="57">
        <f ca="1">IF(AND(OR(B391&gt;59.5,B391=59.5),B390&lt;59.5),(F390-G390+L390-M390+N390-O390)*(1+'Retirement Planning'!$J$23/12),(F390-G390)*(1+'Retirement Planning'!$J$23/12))</f>
        <v>1033562.7414899139</v>
      </c>
      <c r="G391" s="58">
        <f ca="1">IF(AND($B$10&lt;55,B391&lt;59.5),'Retirement Planning'!$J$25,IF(OR(B391&gt;59.5,B391=59.5),MAX(0,MIN(F391,IF(D391&lt;2500,((Y391+AJ391+AA391))-X391,((Y391+AJ391+AA391)*'Retirement Planning'!$J$44)-X391))),0))</f>
        <v>14757.239386603938</v>
      </c>
      <c r="H391" s="255">
        <f ca="1">IF(MONTH(C391)=1,IF(B391&gt;69.5,F391/(INDEX('Retirement Planning'!D$1:D$264,(160+INT(B391))))/12,0),IF(F391=0,0,H390))</f>
        <v>12982.551306622787</v>
      </c>
      <c r="I391" s="262">
        <f t="shared" ca="1" si="140"/>
        <v>0</v>
      </c>
      <c r="J391" s="254">
        <f ca="1">IF(AND(B390&lt;59.5,OR(B391=59.5,B391&gt;59.5)),0,(J390-K390)*(1+'Retirement Planning'!$J$23/12))</f>
        <v>0</v>
      </c>
      <c r="K391" s="58">
        <f t="shared" ca="1" si="141"/>
        <v>0</v>
      </c>
      <c r="L391" s="57">
        <f>IF(AND(OR(B391&gt;59.5,B391=59.5),B390&lt;59.5),0,(L390-M390)*(1+'Retirement Planning'!$J$23/12))</f>
        <v>0</v>
      </c>
      <c r="M391" s="59">
        <f>IF(AND($B$10&lt;55,B391&lt;59.5),0,IF(B391&lt;59.5,MAX(0,MIN((($Y391+$AJ391+AA391)*'Retirement Planning'!$J$44)-$G391-$X391,L391)),0))</f>
        <v>0</v>
      </c>
      <c r="N391" s="57">
        <f ca="1">(N390-O390)*(1+'Retirement Planning'!$J$23/12)</f>
        <v>0</v>
      </c>
      <c r="O391" s="59">
        <f ca="1">IF(B391&gt;59.5,MAX(0,MIN((AA391+$Y391+$AJ391)*(IF(D391&lt;(MIN(E379:E390)+1),1,'Retirement Planning'!$J$44))-M391-$G391-$X391-(IF(D391&lt;(MIN(E379:E390)+1),D391,0)),N391)),0)</f>
        <v>0</v>
      </c>
      <c r="P391" s="57">
        <f t="shared" si="153"/>
        <v>0</v>
      </c>
      <c r="Q391" s="58">
        <f t="shared" si="154"/>
        <v>0</v>
      </c>
      <c r="R391" s="57">
        <f ca="1">(R390-S390-T390)*(1+'Retirement Planning'!$J$23/12)</f>
        <v>1411146.8289266005</v>
      </c>
      <c r="S391" s="58">
        <f t="shared" ca="1" si="155"/>
        <v>808.33333333333337</v>
      </c>
      <c r="T391" s="273">
        <f t="shared" ca="1" si="142"/>
        <v>-3.1832314562052488E-12</v>
      </c>
      <c r="U391" s="57">
        <f ca="1">(U390-V390)*(1+'Retirement Planning'!$J$23/12)</f>
        <v>813064.53989977052</v>
      </c>
      <c r="V391" s="24">
        <f ca="1">IF(AND($B$10&lt;55,B391&lt;59.5),MIN(U391,MAX(0,(Y391+AA391+AJ391-G391)*'Retirement Planning'!$J$45)),IF(B391&lt;59.5,(MIN(U391,MAX(0,((Y391+AA391+AJ391)-G391-M391)*'Retirement Planning'!$J$45))),MIN(U391,MAX(0,(Y391+AA391+AJ391-G391-M391-K391-X391)*'Retirement Planning'!$J$45))))</f>
        <v>1723.2732869002286</v>
      </c>
      <c r="W391" s="7">
        <f t="shared" ca="1" si="143"/>
        <v>4255210.9195479294</v>
      </c>
      <c r="X391" s="7">
        <f>(IF(B391&gt;'Retirement Planning'!$J$34,IF('Retirement Planning'!$J$34=70,'Retirement Planning'!$J$37/12,IF('Retirement Planning'!$J$34=67,'Retirement Planning'!$J$36/12,'Retirement Planning'!$J$35/12)),0))*'Retirement Planning'!$J$38</f>
        <v>1213.6000000000001</v>
      </c>
      <c r="Y391" s="7">
        <f ca="1">'Retirement Planning'!$F$35*((1+'Retirement Planning'!$J$24)^(YEAR('Projected Retirement Drawdown'!C391)-YEAR(TODAY())))</f>
        <v>15081.552922626232</v>
      </c>
      <c r="Z391" s="7">
        <f ca="1">G391+M391+O391+0.85*X391+V391*'Retirement Planning'!$J$46+T391</f>
        <v>16736.599694399061</v>
      </c>
      <c r="AA391" s="7">
        <f ca="1">IF(MONTH(C391)=1,(((MIN(MAX(0,((SUM(Z379:Z390)-'Retirement Planning'!$I$53-'Retirement Planning'!$I$54)-'Retirement Planning'!$J$51)*'Retirement Planning'!$I$52))))+(MIN(MAX(0,((SUM(Z379:Z390)-'Retirement Planning'!$I$53-'Retirement Planning'!$I$54)-'Retirement Planning'!$J$50)*'Retirement Planning'!$I$51),('Retirement Planning'!$J$51-'Retirement Planning'!$J$50)*'Retirement Planning'!$I$51))+(MIN(MAX(0,((SUM(Z379:Z390)-'Retirement Planning'!$I$53-'Retirement Planning'!$I$54)-'Retirement Planning'!$J$49)*'Retirement Planning'!$I$50),('Retirement Planning'!$J$50-'Retirement Planning'!$J$49)*'Retirement Planning'!$I$50)+MIN(MAX(0,((SUM(Z379:Z390)-'Retirement Planning'!$I$53-'Retirement Planning'!$I$54)-'Retirement Planning'!$J$48)*'Retirement Planning'!$I$49),('Retirement Planning'!$J$49-'Retirement Planning'!$J$48)*'Retirement Planning'!$I$49)+MIN(((SUM(Z379:Z390)-'Retirement Planning'!$I$53-'Retirement Planning'!$I$54))*'Retirement Planning'!$I$48,('Retirement Planning'!$J$48)*'Retirement Planning'!$I$48))+(IF((SUM(Z379:Z390)-'Retirement Planning'!$I$54-'Retirement Planning'!$I$61)&gt;'Retirement Planning'!$J$59,(SUM(Z379:Z390)-'Retirement Planning'!$I$54-'Retirement Planning'!$I$61-'Retirement Planning'!$J$59)*'Retirement Planning'!$I$60+'Retirement Planning'!$K$59,IF((SUM(Z379:Z390)-'Retirement Planning'!$I$54-'Retirement Planning'!$I$61)&gt;'Retirement Planning'!$J$58,(SUM(Z379:Z390)-'Retirement Planning'!$I$54-'Retirement Planning'!$I$61-'Retirement Planning'!$J$58)*'Retirement Planning'!$I$59+'Retirement Planning'!$K$58,IF((SUM(Z379:Z390)-'Retirement Planning'!$I$54-'Retirement Planning'!$I$61)&gt;'Retirement Planning'!$J$57,(SUM(Z379:Z390)-'Retirement Planning'!$I$54-'Retirement Planning'!$I$61-'Retirement Planning'!$J$57)*'Retirement Planning'!$I$58+'Retirement Planning'!$K$57,IF((SUM(Z379:Z390)-'Retirement Planning'!$I$54-'Retirement Planning'!$I$61)&gt;'Retirement Planning'!$J$56,(SUM(Z379:Z390)-'Retirement Planning'!$I$54-'Retirement Planning'!$I$61-'Retirement Planning'!$J$56)*'Retirement Planning'!$I$57+'Retirement Planning'!$K$56,(SUM(Z379:Z390)-'Retirement Planning'!$I$54-'Retirement Planning'!$I$61)*'Retirement Planning'!$I$56))))))/12,AA390)</f>
        <v>4318.8660731811005</v>
      </c>
      <c r="AB391" s="104">
        <f t="shared" ca="1" si="164"/>
        <v>0.26763236439401145</v>
      </c>
      <c r="AC391" s="7">
        <f>IF(B391&lt;65,'Retirement Planning'!$J$28,0)</f>
        <v>0</v>
      </c>
      <c r="AD391" s="7">
        <f>IF(B391&lt;65,'Retirement Planning'!$J$29/12,0)</f>
        <v>0</v>
      </c>
      <c r="AE391" s="22">
        <f>'Retirement Planning'!$J$31/12</f>
        <v>58.333333333333336</v>
      </c>
      <c r="AF391" s="22">
        <f>'Retirement Planning'!$J$32/12</f>
        <v>66.666666666666671</v>
      </c>
      <c r="AG391" s="7">
        <f>IF($B391&gt;64.9,'Retirement Planning'!$J$39/12,0)</f>
        <v>183.33333333333334</v>
      </c>
      <c r="AH391" s="7">
        <f>IF($B391&gt;64.9,'Retirement Planning'!$J$40/12,0)</f>
        <v>258.33333333333331</v>
      </c>
      <c r="AI391" s="7">
        <f>IF($B391&gt;64.9,'Retirement Planning'!$J$41/12,0)</f>
        <v>558.33333333333337</v>
      </c>
      <c r="AJ391" s="7">
        <f t="shared" ca="1" si="144"/>
        <v>316.66666666666663</v>
      </c>
      <c r="AK391" s="3" t="str">
        <f t="shared" ca="1" si="162"/>
        <v>N/A</v>
      </c>
      <c r="AL391" s="6" t="str">
        <f t="shared" ca="1" si="163"/>
        <v>N/A</v>
      </c>
      <c r="AM391" s="7">
        <f t="shared" ca="1" si="147"/>
        <v>-6.8212102632969618E-13</v>
      </c>
      <c r="AN391" s="7">
        <f t="shared" ca="1" si="148"/>
        <v>20525.418995807333</v>
      </c>
      <c r="AO391" s="7">
        <f t="shared" si="149"/>
        <v>1125</v>
      </c>
    </row>
    <row r="392" spans="1:41" x14ac:dyDescent="0.2">
      <c r="A392">
        <f t="shared" si="150"/>
        <v>50</v>
      </c>
      <c r="B392" s="5">
        <f t="shared" si="151"/>
        <v>88.1</v>
      </c>
      <c r="C392" s="56">
        <f t="shared" si="152"/>
        <v>58045</v>
      </c>
      <c r="D392" s="57">
        <f ca="1">IF(AND(B391&lt;59.5,OR(B392&gt;59.5,B392=59.5)),(D391-E391+J391-K391)*(1+'Retirement Planning'!$J$23/12),(D391-E391)*(1+'Retirement Planning'!$J$23/12))</f>
        <v>1002464.6842493933</v>
      </c>
      <c r="E392" s="58">
        <f t="shared" ca="1" si="139"/>
        <v>2022.9729889698356</v>
      </c>
      <c r="F392" s="57">
        <f ca="1">IF(AND(OR(B392&gt;59.5,B392=59.5),B391&lt;59.5),(F391-G391+L391-M391+N391-O391)*(1+'Retirement Planning'!$J$23/12),(F391-G391)*(1+'Retirement Planning'!$J$23/12))</f>
        <v>1026022.0410765418</v>
      </c>
      <c r="G392" s="58">
        <f ca="1">IF(AND($B$10&lt;55,B392&lt;59.5),'Retirement Planning'!$J$25,IF(OR(B392&gt;59.5,B392=59.5),MAX(0,MIN(F392,IF(D392&lt;2500,((Y392+AJ392+AA392))-X392,((Y392+AJ392+AA392)*'Retirement Planning'!$J$44)-X392))),0))</f>
        <v>14757.239386603938</v>
      </c>
      <c r="H392" s="255">
        <f ca="1">IF(MONTH(C392)=1,IF(B392&gt;69.5,F392/(INDEX('Retirement Planning'!D$1:D$264,(160+INT(B392))))/12,0),IF(F392=0,0,H391))</f>
        <v>12982.551306622787</v>
      </c>
      <c r="I392" s="262">
        <f t="shared" ca="1" si="140"/>
        <v>0</v>
      </c>
      <c r="J392" s="254">
        <f ca="1">IF(AND(B391&lt;59.5,OR(B392=59.5,B392&gt;59.5)),0,(J391-K391)*(1+'Retirement Planning'!$J$23/12))</f>
        <v>0</v>
      </c>
      <c r="K392" s="58">
        <f t="shared" ca="1" si="141"/>
        <v>0</v>
      </c>
      <c r="L392" s="57">
        <f>IF(AND(OR(B392&gt;59.5,B392=59.5),B391&lt;59.5),0,(L391-M391)*(1+'Retirement Planning'!$J$23/12))</f>
        <v>0</v>
      </c>
      <c r="M392" s="59">
        <f>IF(AND($B$10&lt;55,B392&lt;59.5),0,IF(B392&lt;59.5,MAX(0,MIN((($Y392+$AJ392+AA392)*'Retirement Planning'!$J$44)-$G392-$X392,L392)),0))</f>
        <v>0</v>
      </c>
      <c r="N392" s="57">
        <f ca="1">(N391-O391)*(1+'Retirement Planning'!$J$23/12)</f>
        <v>0</v>
      </c>
      <c r="O392" s="59">
        <f ca="1">IF(B392&gt;59.5,MAX(0,MIN((AA392+$Y392+$AJ392)*(IF(D392&lt;(MIN(E380:E391)+1),1,'Retirement Planning'!$J$44))-M392-$G392-$X392-(IF(D392&lt;(MIN(E380:E391)+1),D392,0)),N392)),0)</f>
        <v>0</v>
      </c>
      <c r="P392" s="57">
        <f t="shared" si="153"/>
        <v>0</v>
      </c>
      <c r="Q392" s="58">
        <f t="shared" si="154"/>
        <v>0</v>
      </c>
      <c r="R392" s="57">
        <f ca="1">(R391-S391-T391)*(1+'Retirement Planning'!$J$23/12)</f>
        <v>1420328.3932703862</v>
      </c>
      <c r="S392" s="58">
        <f t="shared" ca="1" si="155"/>
        <v>808.33333333333337</v>
      </c>
      <c r="T392" s="273">
        <f t="shared" ca="1" si="142"/>
        <v>-3.1832314562052488E-12</v>
      </c>
      <c r="U392" s="57">
        <f ca="1">(U391-V391)*(1+'Retirement Planning'!$J$23/12)</f>
        <v>817088.26725137804</v>
      </c>
      <c r="V392" s="24">
        <f ca="1">IF(AND($B$10&lt;55,B392&lt;59.5),MIN(U392,MAX(0,(Y392+AA392+AJ392-G392)*'Retirement Planning'!$J$45)),IF(B392&lt;59.5,(MIN(U392,MAX(0,((Y392+AA392+AJ392)-G392-M392)*'Retirement Planning'!$J$45))),MIN(U392,MAX(0,(Y392+AA392+AJ392-G392-M392-K392-X392)*'Retirement Planning'!$J$45))))</f>
        <v>1723.2732869002286</v>
      </c>
      <c r="W392" s="7">
        <f t="shared" ca="1" si="143"/>
        <v>4265903.3858476989</v>
      </c>
      <c r="X392" s="7">
        <f>(IF(B392&gt;'Retirement Planning'!$J$34,IF('Retirement Planning'!$J$34=70,'Retirement Planning'!$J$37/12,IF('Retirement Planning'!$J$34=67,'Retirement Planning'!$J$36/12,'Retirement Planning'!$J$35/12)),0))*'Retirement Planning'!$J$38</f>
        <v>1213.6000000000001</v>
      </c>
      <c r="Y392" s="7">
        <f ca="1">'Retirement Planning'!$F$35*((1+'Retirement Planning'!$J$24)^(YEAR('Projected Retirement Drawdown'!C392)-YEAR(TODAY())))</f>
        <v>15081.552922626232</v>
      </c>
      <c r="Z392" s="7">
        <f ca="1">G392+M392+O392+0.85*X392+V392*'Retirement Planning'!$J$46+T392</f>
        <v>16736.599694399061</v>
      </c>
      <c r="AA392" s="7">
        <f ca="1">IF(MONTH(C392)=1,(((MIN(MAX(0,((SUM(Z380:Z391)-'Retirement Planning'!$I$53-'Retirement Planning'!$I$54)-'Retirement Planning'!$J$51)*'Retirement Planning'!$I$52))))+(MIN(MAX(0,((SUM(Z380:Z391)-'Retirement Planning'!$I$53-'Retirement Planning'!$I$54)-'Retirement Planning'!$J$50)*'Retirement Planning'!$I$51),('Retirement Planning'!$J$51-'Retirement Planning'!$J$50)*'Retirement Planning'!$I$51))+(MIN(MAX(0,((SUM(Z380:Z391)-'Retirement Planning'!$I$53-'Retirement Planning'!$I$54)-'Retirement Planning'!$J$49)*'Retirement Planning'!$I$50),('Retirement Planning'!$J$50-'Retirement Planning'!$J$49)*'Retirement Planning'!$I$50)+MIN(MAX(0,((SUM(Z380:Z391)-'Retirement Planning'!$I$53-'Retirement Planning'!$I$54)-'Retirement Planning'!$J$48)*'Retirement Planning'!$I$49),('Retirement Planning'!$J$49-'Retirement Planning'!$J$48)*'Retirement Planning'!$I$49)+MIN(((SUM(Z380:Z391)-'Retirement Planning'!$I$53-'Retirement Planning'!$I$54))*'Retirement Planning'!$I$48,('Retirement Planning'!$J$48)*'Retirement Planning'!$I$48))+(IF((SUM(Z380:Z391)-'Retirement Planning'!$I$54-'Retirement Planning'!$I$61)&gt;'Retirement Planning'!$J$59,(SUM(Z380:Z391)-'Retirement Planning'!$I$54-'Retirement Planning'!$I$61-'Retirement Planning'!$J$59)*'Retirement Planning'!$I$60+'Retirement Planning'!$K$59,IF((SUM(Z380:Z391)-'Retirement Planning'!$I$54-'Retirement Planning'!$I$61)&gt;'Retirement Planning'!$J$58,(SUM(Z380:Z391)-'Retirement Planning'!$I$54-'Retirement Planning'!$I$61-'Retirement Planning'!$J$58)*'Retirement Planning'!$I$59+'Retirement Planning'!$K$58,IF((SUM(Z380:Z391)-'Retirement Planning'!$I$54-'Retirement Planning'!$I$61)&gt;'Retirement Planning'!$J$57,(SUM(Z380:Z391)-'Retirement Planning'!$I$54-'Retirement Planning'!$I$61-'Retirement Planning'!$J$57)*'Retirement Planning'!$I$58+'Retirement Planning'!$K$57,IF((SUM(Z380:Z391)-'Retirement Planning'!$I$54-'Retirement Planning'!$I$61)&gt;'Retirement Planning'!$J$56,(SUM(Z380:Z391)-'Retirement Planning'!$I$54-'Retirement Planning'!$I$61-'Retirement Planning'!$J$56)*'Retirement Planning'!$I$57+'Retirement Planning'!$K$56,(SUM(Z380:Z391)-'Retirement Planning'!$I$54-'Retirement Planning'!$I$61)*'Retirement Planning'!$I$56))))))/12,AA391)</f>
        <v>4318.8660731811005</v>
      </c>
      <c r="AB392" s="104">
        <f t="shared" ca="1" si="164"/>
        <v>0.26763236439401145</v>
      </c>
      <c r="AC392" s="7">
        <f>IF(B392&lt;65,'Retirement Planning'!$J$28,0)</f>
        <v>0</v>
      </c>
      <c r="AD392" s="7">
        <f>IF(B392&lt;65,'Retirement Planning'!$J$29/12,0)</f>
        <v>0</v>
      </c>
      <c r="AE392" s="22">
        <f>'Retirement Planning'!$J$31/12</f>
        <v>58.333333333333336</v>
      </c>
      <c r="AF392" s="22">
        <f>'Retirement Planning'!$J$32/12</f>
        <v>66.666666666666671</v>
      </c>
      <c r="AG392" s="7">
        <f>IF($B392&gt;64.9,'Retirement Planning'!$J$39/12,0)</f>
        <v>183.33333333333334</v>
      </c>
      <c r="AH392" s="7">
        <f>IF($B392&gt;64.9,'Retirement Planning'!$J$40/12,0)</f>
        <v>258.33333333333331</v>
      </c>
      <c r="AI392" s="7">
        <f>IF($B392&gt;64.9,'Retirement Planning'!$J$41/12,0)</f>
        <v>558.33333333333337</v>
      </c>
      <c r="AJ392" s="7">
        <f t="shared" ca="1" si="144"/>
        <v>316.66666666666663</v>
      </c>
      <c r="AK392" s="3" t="str">
        <f t="shared" ca="1" si="162"/>
        <v>N/A</v>
      </c>
      <c r="AL392" s="6" t="str">
        <f t="shared" ca="1" si="163"/>
        <v>N/A</v>
      </c>
      <c r="AM392" s="7">
        <f t="shared" ca="1" si="147"/>
        <v>-6.8212102632969618E-13</v>
      </c>
      <c r="AN392" s="7">
        <f t="shared" ca="1" si="148"/>
        <v>20525.418995807333</v>
      </c>
      <c r="AO392" s="7">
        <f t="shared" si="149"/>
        <v>1125</v>
      </c>
    </row>
    <row r="393" spans="1:41" x14ac:dyDescent="0.2">
      <c r="A393">
        <f t="shared" si="150"/>
        <v>50</v>
      </c>
      <c r="B393" s="5">
        <f t="shared" si="151"/>
        <v>88.2</v>
      </c>
      <c r="C393" s="56">
        <f t="shared" si="152"/>
        <v>58076</v>
      </c>
      <c r="D393" s="57">
        <f ca="1">IF(AND(B392&lt;59.5,OR(B393&gt;59.5,B393=59.5)),(D392-E392+J392-K392)*(1+'Retirement Planning'!$J$23/12),(D392-E392)*(1+'Retirement Planning'!$J$23/12))</f>
        <v>1007528.1733818514</v>
      </c>
      <c r="E393" s="58">
        <f t="shared" ca="1" si="139"/>
        <v>2097.7326812000629</v>
      </c>
      <c r="F393" s="57">
        <f ca="1">IF(AND(OR(B393&gt;59.5,B393=59.5),B392&lt;59.5),(F392-G392+L392-M392+N392-O392)*(1+'Retirement Planning'!$J$23/12),(F392-G392)*(1+'Retirement Planning'!$J$23/12))</f>
        <v>1018427.9273685749</v>
      </c>
      <c r="G393" s="58">
        <f ca="1">IF(AND($B$10&lt;55,B393&lt;59.5),'Retirement Planning'!$J$25,IF(OR(B393&gt;59.5,B393=59.5),MAX(0,MIN(F393,IF(D393&lt;2500,((Y393+AJ393+AA393))-X393,((Y393+AJ393+AA393)*'Retirement Planning'!$J$44)-X393))),0))</f>
        <v>15347.447483158399</v>
      </c>
      <c r="H393" s="255">
        <f ca="1">IF(MONTH(C393)=1,IF(B393&gt;69.5,F393/(INDEX('Retirement Planning'!D$1:D$264,(160+INT(B393))))/12,0),IF(F393=0,0,H392))</f>
        <v>12667.0140219972</v>
      </c>
      <c r="I393" s="262">
        <f t="shared" ca="1" si="140"/>
        <v>0</v>
      </c>
      <c r="J393" s="254">
        <f ca="1">IF(AND(B392&lt;59.5,OR(B393=59.5,B393&gt;59.5)),0,(J392-K392)*(1+'Retirement Planning'!$J$23/12))</f>
        <v>0</v>
      </c>
      <c r="K393" s="58">
        <f t="shared" ca="1" si="141"/>
        <v>0</v>
      </c>
      <c r="L393" s="57">
        <f>IF(AND(OR(B393&gt;59.5,B393=59.5),B392&lt;59.5),0,(L392-M392)*(1+'Retirement Planning'!$J$23/12))</f>
        <v>0</v>
      </c>
      <c r="M393" s="59">
        <f>IF(AND($B$10&lt;55,B393&lt;59.5),0,IF(B393&lt;59.5,MAX(0,MIN((($Y393+$AJ393+AA393)*'Retirement Planning'!$J$44)-$G393-$X393,L393)),0))</f>
        <v>0</v>
      </c>
      <c r="N393" s="57">
        <f ca="1">(N392-O392)*(1+'Retirement Planning'!$J$23/12)</f>
        <v>0</v>
      </c>
      <c r="O393" s="59">
        <f ca="1">IF(B393&gt;59.5,MAX(0,MIN((AA393+$Y393+$AJ393)*(IF(D393&lt;(MIN(E381:E392)+1),1,'Retirement Planning'!$J$44))-M393-$G393-$X393-(IF(D393&lt;(MIN(E381:E392)+1),D393,0)),N393)),0)</f>
        <v>0</v>
      </c>
      <c r="P393" s="57">
        <f t="shared" si="153"/>
        <v>0</v>
      </c>
      <c r="Q393" s="58">
        <f t="shared" si="154"/>
        <v>0</v>
      </c>
      <c r="R393" s="57">
        <f ca="1">(R392-S392-T392)*(1+'Retirement Planning'!$J$23/12)</f>
        <v>1429574.9936949403</v>
      </c>
      <c r="S393" s="58">
        <f t="shared" ca="1" si="155"/>
        <v>808.33333333333337</v>
      </c>
      <c r="T393" s="273">
        <f t="shared" ca="1" si="142"/>
        <v>-3.1832314562052488E-12</v>
      </c>
      <c r="U393" s="57">
        <f ca="1">(U392-V392)*(1+'Retirement Planning'!$J$23/12)</f>
        <v>821140.49600505945</v>
      </c>
      <c r="V393" s="24">
        <f ca="1">IF(AND($B$10&lt;55,B393&lt;59.5),MIN(U393,MAX(0,(Y393+AA393+AJ393-G393)*'Retirement Planning'!$J$45)),IF(B393&lt;59.5,(MIN(U393,MAX(0,((Y393+AA393+AJ393)-G393-M393)*'Retirement Planning'!$J$45))),MIN(U393,MAX(0,(Y393+AA393+AJ393-G393-M393-K393-X393)*'Retirement Planning'!$J$45))))</f>
        <v>1786.957469170424</v>
      </c>
      <c r="W393" s="7">
        <f t="shared" ca="1" si="143"/>
        <v>4276671.5904504256</v>
      </c>
      <c r="X393" s="7">
        <f>(IF(B393&gt;'Retirement Planning'!$J$34,IF('Retirement Planning'!$J$34=70,'Retirement Planning'!$J$37/12,IF('Retirement Planning'!$J$34=67,'Retirement Planning'!$J$36/12,'Retirement Planning'!$J$35/12)),0))*'Retirement Planning'!$J$38</f>
        <v>1213.6000000000001</v>
      </c>
      <c r="Y393" s="7">
        <f ca="1">'Retirement Planning'!$F$35*((1+'Retirement Planning'!$J$24)^(YEAR('Projected Retirement Drawdown'!C393)-YEAR(TODAY())))</f>
        <v>15609.407274918147</v>
      </c>
      <c r="Z393" s="7">
        <f ca="1">G393+M393+O393+0.85*X393+V393*'Retirement Planning'!$J$46+T393</f>
        <v>17361.834091202127</v>
      </c>
      <c r="AA393" s="7">
        <f ca="1">IF(MONTH(C393)=1,(((MIN(MAX(0,((SUM(Z381:Z392)-'Retirement Planning'!$I$53-'Retirement Planning'!$I$54)-'Retirement Planning'!$J$51)*'Retirement Planning'!$I$52))))+(MIN(MAX(0,((SUM(Z381:Z392)-'Retirement Planning'!$I$53-'Retirement Planning'!$I$54)-'Retirement Planning'!$J$50)*'Retirement Planning'!$I$51),('Retirement Planning'!$J$51-'Retirement Planning'!$J$50)*'Retirement Planning'!$I$51))+(MIN(MAX(0,((SUM(Z381:Z392)-'Retirement Planning'!$I$53-'Retirement Planning'!$I$54)-'Retirement Planning'!$J$49)*'Retirement Planning'!$I$50),('Retirement Planning'!$J$50-'Retirement Planning'!$J$49)*'Retirement Planning'!$I$50)+MIN(MAX(0,((SUM(Z381:Z392)-'Retirement Planning'!$I$53-'Retirement Planning'!$I$54)-'Retirement Planning'!$J$48)*'Retirement Planning'!$I$49),('Retirement Planning'!$J$49-'Retirement Planning'!$J$48)*'Retirement Planning'!$I$49)+MIN(((SUM(Z381:Z392)-'Retirement Planning'!$I$53-'Retirement Planning'!$I$54))*'Retirement Planning'!$I$48,('Retirement Planning'!$J$48)*'Retirement Planning'!$I$48))+(IF((SUM(Z381:Z392)-'Retirement Planning'!$I$54-'Retirement Planning'!$I$61)&gt;'Retirement Planning'!$J$59,(SUM(Z381:Z392)-'Retirement Planning'!$I$54-'Retirement Planning'!$I$61-'Retirement Planning'!$J$59)*'Retirement Planning'!$I$60+'Retirement Planning'!$K$59,IF((SUM(Z381:Z392)-'Retirement Planning'!$I$54-'Retirement Planning'!$I$61)&gt;'Retirement Planning'!$J$58,(SUM(Z381:Z392)-'Retirement Planning'!$I$54-'Retirement Planning'!$I$61-'Retirement Planning'!$J$58)*'Retirement Planning'!$I$59+'Retirement Planning'!$K$58,IF((SUM(Z381:Z392)-'Retirement Planning'!$I$54-'Retirement Planning'!$I$61)&gt;'Retirement Planning'!$J$57,(SUM(Z381:Z392)-'Retirement Planning'!$I$54-'Retirement Planning'!$I$61-'Retirement Planning'!$J$57)*'Retirement Planning'!$I$58+'Retirement Planning'!$K$57,IF((SUM(Z381:Z392)-'Retirement Planning'!$I$54-'Retirement Planning'!$I$61)&gt;'Retirement Planning'!$J$56,(SUM(Z381:Z392)-'Retirement Planning'!$I$54-'Retirement Planning'!$I$61-'Retirement Planning'!$J$56)*'Retirement Planning'!$I$57+'Retirement Planning'!$K$56,(SUM(Z381:Z392)-'Retirement Planning'!$I$54-'Retirement Planning'!$I$61)*'Retirement Planning'!$I$56))))))/12,AA392)</f>
        <v>4519.6636919440725</v>
      </c>
      <c r="AB393" s="104">
        <f t="shared" ref="AB393" ca="1" si="169">SUM(AA393:AA404)/SUM(Z381:Z392)</f>
        <v>0.27004671047109935</v>
      </c>
      <c r="AC393" s="7">
        <f>IF(B393&lt;65,'Retirement Planning'!$J$28,0)</f>
        <v>0</v>
      </c>
      <c r="AD393" s="7">
        <f>IF(B393&lt;65,'Retirement Planning'!$J$29/12,0)</f>
        <v>0</v>
      </c>
      <c r="AE393" s="22">
        <f>'Retirement Planning'!$J$31/12</f>
        <v>58.333333333333336</v>
      </c>
      <c r="AF393" s="22">
        <f>'Retirement Planning'!$J$32/12</f>
        <v>66.666666666666671</v>
      </c>
      <c r="AG393" s="7">
        <f>IF($B393&gt;64.9,'Retirement Planning'!$J$39/12,0)</f>
        <v>183.33333333333334</v>
      </c>
      <c r="AH393" s="7">
        <f>IF($B393&gt;64.9,'Retirement Planning'!$J$40/12,0)</f>
        <v>258.33333333333331</v>
      </c>
      <c r="AI393" s="7">
        <f>IF($B393&gt;64.9,'Retirement Planning'!$J$41/12,0)</f>
        <v>558.33333333333337</v>
      </c>
      <c r="AJ393" s="7">
        <f t="shared" ca="1" si="144"/>
        <v>316.66666666666663</v>
      </c>
      <c r="AK393" s="3" t="str">
        <f t="shared" ca="1" si="162"/>
        <v>N/A</v>
      </c>
      <c r="AL393" s="6" t="str">
        <f t="shared" ca="1" si="163"/>
        <v>N/A</v>
      </c>
      <c r="AM393" s="7">
        <f t="shared" ca="1" si="147"/>
        <v>1.1368683772161603E-12</v>
      </c>
      <c r="AN393" s="7">
        <f t="shared" ca="1" si="148"/>
        <v>21254.070966862218</v>
      </c>
      <c r="AO393" s="7">
        <f t="shared" si="149"/>
        <v>1125</v>
      </c>
    </row>
    <row r="394" spans="1:41" x14ac:dyDescent="0.2">
      <c r="A394">
        <f t="shared" si="150"/>
        <v>50</v>
      </c>
      <c r="B394" s="5">
        <f t="shared" si="151"/>
        <v>88.3</v>
      </c>
      <c r="C394" s="56">
        <f t="shared" si="152"/>
        <v>58107</v>
      </c>
      <c r="D394" s="57">
        <f ca="1">IF(AND(B393&lt;59.5,OR(B394&gt;59.5,B394=59.5)),(D393-E393+J393-K393)*(1+'Retirement Planning'!$J$23/12),(D393-E393)*(1+'Retirement Planning'!$J$23/12))</f>
        <v>1012552.2396556144</v>
      </c>
      <c r="E394" s="58">
        <f t="shared" ca="1" si="139"/>
        <v>2097.7326812000629</v>
      </c>
      <c r="F394" s="57">
        <f ca="1">IF(AND(OR(B394&gt;59.5,B394=59.5),B393&lt;59.5),(F393-G393+L393-M393+N393-O393)*(1+'Retirement Planning'!$J$23/12),(F393-G393)*(1+'Retirement Planning'!$J$23/12))</f>
        <v>1010185.6332846049</v>
      </c>
      <c r="G394" s="58">
        <f ca="1">IF(AND($B$10&lt;55,B394&lt;59.5),'Retirement Planning'!$J$25,IF(OR(B394&gt;59.5,B394=59.5),MAX(0,MIN(F394,IF(D394&lt;2500,((Y394+AJ394+AA394))-X394,((Y394+AJ394+AA394)*'Retirement Planning'!$J$44)-X394))),0))</f>
        <v>15347.447483158399</v>
      </c>
      <c r="H394" s="255">
        <f ca="1">IF(MONTH(C394)=1,IF(B394&gt;69.5,F394/(INDEX('Retirement Planning'!D$1:D$264,(160+INT(B394))))/12,0),IF(F394=0,0,H393))</f>
        <v>12667.0140219972</v>
      </c>
      <c r="I394" s="262">
        <f t="shared" ca="1" si="140"/>
        <v>0</v>
      </c>
      <c r="J394" s="254">
        <f ca="1">IF(AND(B393&lt;59.5,OR(B394=59.5,B394&gt;59.5)),0,(J393-K393)*(1+'Retirement Planning'!$J$23/12))</f>
        <v>0</v>
      </c>
      <c r="K394" s="58">
        <f t="shared" ca="1" si="141"/>
        <v>0</v>
      </c>
      <c r="L394" s="57">
        <f>IF(AND(OR(B394&gt;59.5,B394=59.5),B393&lt;59.5),0,(L393-M393)*(1+'Retirement Planning'!$J$23/12))</f>
        <v>0</v>
      </c>
      <c r="M394" s="59">
        <f>IF(AND($B$10&lt;55,B394&lt;59.5),0,IF(B394&lt;59.5,MAX(0,MIN((($Y394+$AJ394+AA394)*'Retirement Planning'!$J$44)-$G394-$X394,L394)),0))</f>
        <v>0</v>
      </c>
      <c r="N394" s="57">
        <f ca="1">(N393-O393)*(1+'Retirement Planning'!$J$23/12)</f>
        <v>0</v>
      </c>
      <c r="O394" s="59">
        <f ca="1">IF(B394&gt;59.5,MAX(0,MIN((AA394+$Y394+$AJ394)*(IF(D394&lt;(MIN(E382:E393)+1),1,'Retirement Planning'!$J$44))-M394-$G394-$X394-(IF(D394&lt;(MIN(E382:E393)+1),D394,0)),N394)),0)</f>
        <v>0</v>
      </c>
      <c r="P394" s="57">
        <f t="shared" si="153"/>
        <v>0</v>
      </c>
      <c r="Q394" s="58">
        <f t="shared" si="154"/>
        <v>0</v>
      </c>
      <c r="R394" s="57">
        <f ca="1">(R393-S393-T393)*(1+'Retirement Planning'!$J$23/12)</f>
        <v>1438887.0908725017</v>
      </c>
      <c r="S394" s="58">
        <f t="shared" ca="1" si="155"/>
        <v>808.33333333333337</v>
      </c>
      <c r="T394" s="273">
        <f t="shared" ca="1" si="142"/>
        <v>-3.1832314562052488E-12</v>
      </c>
      <c r="U394" s="57">
        <f ca="1">(U393-V393)*(1+'Retirement Planning'!$J$23/12)</f>
        <v>825157.2927671849</v>
      </c>
      <c r="V394" s="24">
        <f ca="1">IF(AND($B$10&lt;55,B394&lt;59.5),MIN(U394,MAX(0,(Y394+AA394+AJ394-G394)*'Retirement Planning'!$J$45)),IF(B394&lt;59.5,(MIN(U394,MAX(0,((Y394+AA394+AJ394)-G394-M394)*'Retirement Planning'!$J$45))),MIN(U394,MAX(0,(Y394+AA394+AJ394-G394-M394-K394-X394)*'Retirement Planning'!$J$45))))</f>
        <v>1786.957469170424</v>
      </c>
      <c r="W394" s="7">
        <f t="shared" ca="1" si="143"/>
        <v>4286782.2565799057</v>
      </c>
      <c r="X394" s="7">
        <f>(IF(B394&gt;'Retirement Planning'!$J$34,IF('Retirement Planning'!$J$34=70,'Retirement Planning'!$J$37/12,IF('Retirement Planning'!$J$34=67,'Retirement Planning'!$J$36/12,'Retirement Planning'!$J$35/12)),0))*'Retirement Planning'!$J$38</f>
        <v>1213.6000000000001</v>
      </c>
      <c r="Y394" s="7">
        <f ca="1">'Retirement Planning'!$F$35*((1+'Retirement Planning'!$J$24)^(YEAR('Projected Retirement Drawdown'!C394)-YEAR(TODAY())))</f>
        <v>15609.407274918147</v>
      </c>
      <c r="Z394" s="7">
        <f ca="1">G394+M394+O394+0.85*X394+V394*'Retirement Planning'!$J$46+T394</f>
        <v>17361.834091202127</v>
      </c>
      <c r="AA394" s="7">
        <f ca="1">IF(MONTH(C394)=1,(((MIN(MAX(0,((SUM(Z382:Z393)-'Retirement Planning'!$I$53-'Retirement Planning'!$I$54)-'Retirement Planning'!$J$51)*'Retirement Planning'!$I$52))))+(MIN(MAX(0,((SUM(Z382:Z393)-'Retirement Planning'!$I$53-'Retirement Planning'!$I$54)-'Retirement Planning'!$J$50)*'Retirement Planning'!$I$51),('Retirement Planning'!$J$51-'Retirement Planning'!$J$50)*'Retirement Planning'!$I$51))+(MIN(MAX(0,((SUM(Z382:Z393)-'Retirement Planning'!$I$53-'Retirement Planning'!$I$54)-'Retirement Planning'!$J$49)*'Retirement Planning'!$I$50),('Retirement Planning'!$J$50-'Retirement Planning'!$J$49)*'Retirement Planning'!$I$50)+MIN(MAX(0,((SUM(Z382:Z393)-'Retirement Planning'!$I$53-'Retirement Planning'!$I$54)-'Retirement Planning'!$J$48)*'Retirement Planning'!$I$49),('Retirement Planning'!$J$49-'Retirement Planning'!$J$48)*'Retirement Planning'!$I$49)+MIN(((SUM(Z382:Z393)-'Retirement Planning'!$I$53-'Retirement Planning'!$I$54))*'Retirement Planning'!$I$48,('Retirement Planning'!$J$48)*'Retirement Planning'!$I$48))+(IF((SUM(Z382:Z393)-'Retirement Planning'!$I$54-'Retirement Planning'!$I$61)&gt;'Retirement Planning'!$J$59,(SUM(Z382:Z393)-'Retirement Planning'!$I$54-'Retirement Planning'!$I$61-'Retirement Planning'!$J$59)*'Retirement Planning'!$I$60+'Retirement Planning'!$K$59,IF((SUM(Z382:Z393)-'Retirement Planning'!$I$54-'Retirement Planning'!$I$61)&gt;'Retirement Planning'!$J$58,(SUM(Z382:Z393)-'Retirement Planning'!$I$54-'Retirement Planning'!$I$61-'Retirement Planning'!$J$58)*'Retirement Planning'!$I$59+'Retirement Planning'!$K$58,IF((SUM(Z382:Z393)-'Retirement Planning'!$I$54-'Retirement Planning'!$I$61)&gt;'Retirement Planning'!$J$57,(SUM(Z382:Z393)-'Retirement Planning'!$I$54-'Retirement Planning'!$I$61-'Retirement Planning'!$J$57)*'Retirement Planning'!$I$58+'Retirement Planning'!$K$57,IF((SUM(Z382:Z393)-'Retirement Planning'!$I$54-'Retirement Planning'!$I$61)&gt;'Retirement Planning'!$J$56,(SUM(Z382:Z393)-'Retirement Planning'!$I$54-'Retirement Planning'!$I$61-'Retirement Planning'!$J$56)*'Retirement Planning'!$I$57+'Retirement Planning'!$K$56,(SUM(Z382:Z393)-'Retirement Planning'!$I$54-'Retirement Planning'!$I$61)*'Retirement Planning'!$I$56))))))/12,AA393)</f>
        <v>4519.6636919440725</v>
      </c>
      <c r="AB394" s="104">
        <f t="shared" ref="AB394:AB425" ca="1" si="170">AB393</f>
        <v>0.27004671047109935</v>
      </c>
      <c r="AC394" s="7">
        <f>IF(B394&lt;65,'Retirement Planning'!$J$28,0)</f>
        <v>0</v>
      </c>
      <c r="AD394" s="7">
        <f>IF(B394&lt;65,'Retirement Planning'!$J$29/12,0)</f>
        <v>0</v>
      </c>
      <c r="AE394" s="22">
        <f>'Retirement Planning'!$J$31/12</f>
        <v>58.333333333333336</v>
      </c>
      <c r="AF394" s="22">
        <f>'Retirement Planning'!$J$32/12</f>
        <v>66.666666666666671</v>
      </c>
      <c r="AG394" s="7">
        <f>IF($B394&gt;64.9,'Retirement Planning'!$J$39/12,0)</f>
        <v>183.33333333333334</v>
      </c>
      <c r="AH394" s="7">
        <f>IF($B394&gt;64.9,'Retirement Planning'!$J$40/12,0)</f>
        <v>258.33333333333331</v>
      </c>
      <c r="AI394" s="7">
        <f>IF($B394&gt;64.9,'Retirement Planning'!$J$41/12,0)</f>
        <v>558.33333333333337</v>
      </c>
      <c r="AJ394" s="7">
        <f t="shared" ca="1" si="144"/>
        <v>316.66666666666663</v>
      </c>
      <c r="AK394" s="3" t="str">
        <f t="shared" ca="1" si="162"/>
        <v>N/A</v>
      </c>
      <c r="AL394" s="6" t="str">
        <f t="shared" ca="1" si="163"/>
        <v>N/A</v>
      </c>
      <c r="AM394" s="7">
        <f t="shared" ca="1" si="147"/>
        <v>1.1368683772161603E-12</v>
      </c>
      <c r="AN394" s="7">
        <f t="shared" ca="1" si="148"/>
        <v>21254.070966862218</v>
      </c>
      <c r="AO394" s="7">
        <f t="shared" si="149"/>
        <v>1125</v>
      </c>
    </row>
    <row r="395" spans="1:41" x14ac:dyDescent="0.2">
      <c r="A395">
        <f t="shared" si="150"/>
        <v>50</v>
      </c>
      <c r="B395" s="5">
        <f t="shared" si="151"/>
        <v>88.4</v>
      </c>
      <c r="C395" s="56">
        <f t="shared" si="152"/>
        <v>58135</v>
      </c>
      <c r="D395" s="57">
        <f ca="1">IF(AND(B394&lt;59.5,OR(B395&gt;59.5,B395=59.5)),(D394-E394+J394-K394)*(1+'Retirement Planning'!$J$23/12),(D394-E394)*(1+'Retirement Planning'!$J$23/12))</f>
        <v>1017611.8930654831</v>
      </c>
      <c r="E395" s="58">
        <f t="shared" ref="E395:E458" ca="1" si="171">MIN(D395,MAX(0,Y395+AA395+AJ395-X395-V395-M395-G395-K395))</f>
        <v>2097.7326812000629</v>
      </c>
      <c r="F395" s="57">
        <f ca="1">IF(AND(OR(B395&gt;59.5,B395=59.5),B394&lt;59.5),(F394-G394+L394-M394+N394-O394)*(1+'Retirement Planning'!$J$23/12),(F394-G394)*(1+'Retirement Planning'!$J$23/12))</f>
        <v>1001884.9562842067</v>
      </c>
      <c r="G395" s="58">
        <f ca="1">IF(AND($B$10&lt;55,B395&lt;59.5),'Retirement Planning'!$J$25,IF(OR(B395&gt;59.5,B395=59.5),MAX(0,MIN(F395,IF(D395&lt;2500,((Y395+AJ395+AA395))-X395,((Y395+AJ395+AA395)*'Retirement Planning'!$J$44)-X395))),0))</f>
        <v>15347.447483158399</v>
      </c>
      <c r="H395" s="255">
        <f ca="1">IF(MONTH(C395)=1,IF(B395&gt;69.5,F395/(INDEX('Retirement Planning'!D$1:D$264,(160+INT(B395))))/12,0),IF(F395=0,0,H394))</f>
        <v>12667.0140219972</v>
      </c>
      <c r="I395" s="262">
        <f t="shared" ref="I395:I458" ca="1" si="172">MAX(0,H395-G395)</f>
        <v>0</v>
      </c>
      <c r="J395" s="254">
        <f ca="1">IF(AND(B394&lt;59.5,OR(B395=59.5,B395&gt;59.5)),0,(J394-K394)*(1+'Retirement Planning'!$J$23/12))</f>
        <v>0</v>
      </c>
      <c r="K395" s="58">
        <f t="shared" ref="K395:K458" ca="1" si="173">IF(B395&gt;59.5,MAX(0,MIN(J395,AA395+Y395+AJ395-O395-M395-G395-X395)),0)</f>
        <v>0</v>
      </c>
      <c r="L395" s="57">
        <f>IF(AND(OR(B395&gt;59.5,B395=59.5),B394&lt;59.5),0,(L394-M394)*(1+'Retirement Planning'!$J$23/12))</f>
        <v>0</v>
      </c>
      <c r="M395" s="59">
        <f>IF(AND($B$10&lt;55,B395&lt;59.5),0,IF(B395&lt;59.5,MAX(0,MIN((($Y395+$AJ395+AA395)*'Retirement Planning'!$J$44)-$G395-$X395,L395)),0))</f>
        <v>0</v>
      </c>
      <c r="N395" s="57">
        <f ca="1">(N394-O394)*(1+'Retirement Planning'!$J$23/12)</f>
        <v>0</v>
      </c>
      <c r="O395" s="59">
        <f ca="1">IF(B395&gt;59.5,MAX(0,MIN((AA395+$Y395+$AJ395)*(IF(D395&lt;(MIN(E383:E394)+1),1,'Retirement Planning'!$J$44))-M395-$G395-$X395-(IF(D395&lt;(MIN(E383:E394)+1),D395,0)),N395)),0)</f>
        <v>0</v>
      </c>
      <c r="P395" s="57">
        <f t="shared" si="153"/>
        <v>0</v>
      </c>
      <c r="Q395" s="58">
        <f t="shared" si="154"/>
        <v>0</v>
      </c>
      <c r="R395" s="57">
        <f ca="1">(R394-S394-T394)*(1+'Retirement Planning'!$J$23/12)</f>
        <v>1448265.1487384043</v>
      </c>
      <c r="S395" s="58">
        <f t="shared" ca="1" si="155"/>
        <v>808.33333333333337</v>
      </c>
      <c r="T395" s="273">
        <f t="shared" ref="T395:T458" ca="1" si="174">MIN(AN395-E395-G395-K395-M395-O395-Q395-S395-V395-X395,R395-S395)</f>
        <v>-3.1832314562052488E-12</v>
      </c>
      <c r="U395" s="57">
        <f ca="1">(U394-V394)*(1+'Retirement Planning'!$J$23/12)</f>
        <v>829202.54183970869</v>
      </c>
      <c r="V395" s="24">
        <f ca="1">IF(AND($B$10&lt;55,B395&lt;59.5),MIN(U395,MAX(0,(Y395+AA395+AJ395-G395)*'Retirement Planning'!$J$45)),IF(B395&lt;59.5,(MIN(U395,MAX(0,((Y395+AA395+AJ395)-G395-M395)*'Retirement Planning'!$J$45))),MIN(U395,MAX(0,(Y395+AA395+AJ395-G395-M395-K395-X395)*'Retirement Planning'!$J$45))))</f>
        <v>1786.957469170424</v>
      </c>
      <c r="W395" s="7">
        <f t="shared" ref="W395:W458" ca="1" si="175">D395+F395+J395+L395+N395+P395+R395+U395</f>
        <v>4296964.539927803</v>
      </c>
      <c r="X395" s="7">
        <f>(IF(B395&gt;'Retirement Planning'!$J$34,IF('Retirement Planning'!$J$34=70,'Retirement Planning'!$J$37/12,IF('Retirement Planning'!$J$34=67,'Retirement Planning'!$J$36/12,'Retirement Planning'!$J$35/12)),0))*'Retirement Planning'!$J$38</f>
        <v>1213.6000000000001</v>
      </c>
      <c r="Y395" s="7">
        <f ca="1">'Retirement Planning'!$F$35*((1+'Retirement Planning'!$J$24)^(YEAR('Projected Retirement Drawdown'!C395)-YEAR(TODAY())))</f>
        <v>15609.407274918147</v>
      </c>
      <c r="Z395" s="7">
        <f ca="1">G395+M395+O395+0.85*X395+V395*'Retirement Planning'!$J$46+T395</f>
        <v>17361.834091202127</v>
      </c>
      <c r="AA395" s="7">
        <f ca="1">IF(MONTH(C395)=1,(((MIN(MAX(0,((SUM(Z383:Z394)-'Retirement Planning'!$I$53-'Retirement Planning'!$I$54)-'Retirement Planning'!$J$51)*'Retirement Planning'!$I$52))))+(MIN(MAX(0,((SUM(Z383:Z394)-'Retirement Planning'!$I$53-'Retirement Planning'!$I$54)-'Retirement Planning'!$J$50)*'Retirement Planning'!$I$51),('Retirement Planning'!$J$51-'Retirement Planning'!$J$50)*'Retirement Planning'!$I$51))+(MIN(MAX(0,((SUM(Z383:Z394)-'Retirement Planning'!$I$53-'Retirement Planning'!$I$54)-'Retirement Planning'!$J$49)*'Retirement Planning'!$I$50),('Retirement Planning'!$J$50-'Retirement Planning'!$J$49)*'Retirement Planning'!$I$50)+MIN(MAX(0,((SUM(Z383:Z394)-'Retirement Planning'!$I$53-'Retirement Planning'!$I$54)-'Retirement Planning'!$J$48)*'Retirement Planning'!$I$49),('Retirement Planning'!$J$49-'Retirement Planning'!$J$48)*'Retirement Planning'!$I$49)+MIN(((SUM(Z383:Z394)-'Retirement Planning'!$I$53-'Retirement Planning'!$I$54))*'Retirement Planning'!$I$48,('Retirement Planning'!$J$48)*'Retirement Planning'!$I$48))+(IF((SUM(Z383:Z394)-'Retirement Planning'!$I$54-'Retirement Planning'!$I$61)&gt;'Retirement Planning'!$J$59,(SUM(Z383:Z394)-'Retirement Planning'!$I$54-'Retirement Planning'!$I$61-'Retirement Planning'!$J$59)*'Retirement Planning'!$I$60+'Retirement Planning'!$K$59,IF((SUM(Z383:Z394)-'Retirement Planning'!$I$54-'Retirement Planning'!$I$61)&gt;'Retirement Planning'!$J$58,(SUM(Z383:Z394)-'Retirement Planning'!$I$54-'Retirement Planning'!$I$61-'Retirement Planning'!$J$58)*'Retirement Planning'!$I$59+'Retirement Planning'!$K$58,IF((SUM(Z383:Z394)-'Retirement Planning'!$I$54-'Retirement Planning'!$I$61)&gt;'Retirement Planning'!$J$57,(SUM(Z383:Z394)-'Retirement Planning'!$I$54-'Retirement Planning'!$I$61-'Retirement Planning'!$J$57)*'Retirement Planning'!$I$58+'Retirement Planning'!$K$57,IF((SUM(Z383:Z394)-'Retirement Planning'!$I$54-'Retirement Planning'!$I$61)&gt;'Retirement Planning'!$J$56,(SUM(Z383:Z394)-'Retirement Planning'!$I$54-'Retirement Planning'!$I$61-'Retirement Planning'!$J$56)*'Retirement Planning'!$I$57+'Retirement Planning'!$K$56,(SUM(Z383:Z394)-'Retirement Planning'!$I$54-'Retirement Planning'!$I$61)*'Retirement Planning'!$I$56))))))/12,AA394)</f>
        <v>4519.6636919440725</v>
      </c>
      <c r="AB395" s="104">
        <f t="shared" ca="1" si="164"/>
        <v>0.27004671047109935</v>
      </c>
      <c r="AC395" s="7">
        <f>IF(B395&lt;65,'Retirement Planning'!$J$28,0)</f>
        <v>0</v>
      </c>
      <c r="AD395" s="7">
        <f>IF(B395&lt;65,'Retirement Planning'!$J$29/12,0)</f>
        <v>0</v>
      </c>
      <c r="AE395" s="22">
        <f>'Retirement Planning'!$J$31/12</f>
        <v>58.333333333333336</v>
      </c>
      <c r="AF395" s="22">
        <f>'Retirement Planning'!$J$32/12</f>
        <v>66.666666666666671</v>
      </c>
      <c r="AG395" s="7">
        <f>IF($B395&gt;64.9,'Retirement Planning'!$J$39/12,0)</f>
        <v>183.33333333333334</v>
      </c>
      <c r="AH395" s="7">
        <f>IF($B395&gt;64.9,'Retirement Planning'!$J$40/12,0)</f>
        <v>258.33333333333331</v>
      </c>
      <c r="AI395" s="7">
        <f>IF($B395&gt;64.9,'Retirement Planning'!$J$41/12,0)</f>
        <v>558.33333333333337</v>
      </c>
      <c r="AJ395" s="7">
        <f t="shared" ref="AJ395:AJ458" ca="1" si="176">AC395+AD395+AE395+AF395+AG395+AH395+AI395-S395-Q395</f>
        <v>316.66666666666663</v>
      </c>
      <c r="AK395" s="3" t="str">
        <f t="shared" ca="1" si="162"/>
        <v>N/A</v>
      </c>
      <c r="AL395" s="6" t="str">
        <f t="shared" ca="1" si="163"/>
        <v>N/A</v>
      </c>
      <c r="AM395" s="7">
        <f t="shared" ref="AM395:AM458" ca="1" si="177">AA395+Y395+AC395+AD395+AE395+AF395+AG395+AH395+AI395-X395-S395-Q395-O395-M395-K395-G395-E395-V395-T395</f>
        <v>1.1368683772161603E-12</v>
      </c>
      <c r="AN395" s="7">
        <f t="shared" ref="AN395:AN458" ca="1" si="178">AI395+AH395+AG395+AF395+AE395+AD395+AC395+AA395+Y395</f>
        <v>21254.070966862218</v>
      </c>
      <c r="AO395" s="7">
        <f t="shared" ref="AO395:AO458" si="179">AC395+AD395+AE395+AF395+AG395+AH395+AI395</f>
        <v>1125</v>
      </c>
    </row>
    <row r="396" spans="1:41" x14ac:dyDescent="0.2">
      <c r="A396">
        <f t="shared" ref="A396:A459" si="180">IF(AND(B396&gt;59.5,B395&lt;59.6),ROW(B396),A395)</f>
        <v>50</v>
      </c>
      <c r="B396" s="5">
        <f t="shared" ref="B396:B459" si="181">(INT((((YEAR(C396)-YEAR(DATE(1970,10,16)))*12+MONTH(C396)-MONTH(DATE(1970,10,16)))/12)*10))/10</f>
        <v>88.5</v>
      </c>
      <c r="C396" s="56">
        <f t="shared" ref="C396:C459" si="182">DATE(YEAR(C395),MONTH(C395)+1,1)</f>
        <v>58166</v>
      </c>
      <c r="D396" s="57">
        <f ca="1">IF(AND(B395&lt;59.5,OR(B396&gt;59.5,B396=59.5)),(D395-E395+J395-K395)*(1+'Retirement Planning'!$J$23/12),(D395-E395)*(1+'Retirement Planning'!$J$23/12))</f>
        <v>1022707.385687005</v>
      </c>
      <c r="E396" s="58">
        <f t="shared" ca="1" si="171"/>
        <v>2097.7326812000629</v>
      </c>
      <c r="F396" s="57">
        <f ca="1">IF(AND(OR(B396&gt;59.5,B396=59.5),B395&lt;59.5),(F395-G395+L395-M395+N395-O395)*(1+'Retirement Planning'!$J$23/12),(F395-G395)*(1+'Retirement Planning'!$J$23/12))</f>
        <v>993525.4828217224</v>
      </c>
      <c r="G396" s="58">
        <f ca="1">IF(AND($B$10&lt;55,B396&lt;59.5),'Retirement Planning'!$J$25,IF(OR(B396&gt;59.5,B396=59.5),MAX(0,MIN(F396,IF(D396&lt;2500,((Y396+AJ396+AA396))-X396,((Y396+AJ396+AA396)*'Retirement Planning'!$J$44)-X396))),0))</f>
        <v>15347.447483158399</v>
      </c>
      <c r="H396" s="255">
        <f ca="1">IF(MONTH(C396)=1,IF(B396&gt;69.5,F396/(INDEX('Retirement Planning'!D$1:D$264,(160+INT(B396))))/12,0),IF(F396=0,0,H395))</f>
        <v>12667.0140219972</v>
      </c>
      <c r="I396" s="262">
        <f t="shared" ca="1" si="172"/>
        <v>0</v>
      </c>
      <c r="J396" s="254">
        <f ca="1">IF(AND(B395&lt;59.5,OR(B396=59.5,B396&gt;59.5)),0,(J395-K395)*(1+'Retirement Planning'!$J$23/12))</f>
        <v>0</v>
      </c>
      <c r="K396" s="58">
        <f t="shared" ca="1" si="173"/>
        <v>0</v>
      </c>
      <c r="L396" s="57">
        <f>IF(AND(OR(B396&gt;59.5,B396=59.5),B395&lt;59.5),0,(L395-M395)*(1+'Retirement Planning'!$J$23/12))</f>
        <v>0</v>
      </c>
      <c r="M396" s="59">
        <f>IF(AND($B$10&lt;55,B396&lt;59.5),0,IF(B396&lt;59.5,MAX(0,MIN((($Y396+$AJ396+AA396)*'Retirement Planning'!$J$44)-$G396-$X396,L396)),0))</f>
        <v>0</v>
      </c>
      <c r="N396" s="57">
        <f ca="1">(N395-O395)*(1+'Retirement Planning'!$J$23/12)</f>
        <v>0</v>
      </c>
      <c r="O396" s="59">
        <f ca="1">IF(B396&gt;59.5,MAX(0,MIN((AA396+$Y396+$AJ396)*(IF(D396&lt;(MIN(E384:E395)+1),1,'Retirement Planning'!$J$44))-M396-$G396-$X396-(IF(D396&lt;(MIN(E384:E395)+1),D396,0)),N396)),0)</f>
        <v>0</v>
      </c>
      <c r="P396" s="57">
        <f t="shared" ref="P396:P459" si="183">P395-Q395</f>
        <v>0</v>
      </c>
      <c r="Q396" s="58">
        <f t="shared" ref="Q396:Q459" si="184">MIN(AC396+AE396+AH396,P396)</f>
        <v>0</v>
      </c>
      <c r="R396" s="57">
        <f ca="1">(R395-S395-T395)*(1+'Retirement Planning'!$J$23/12)</f>
        <v>1457709.6345141903</v>
      </c>
      <c r="S396" s="58">
        <f t="shared" ref="S396:S459" ca="1" si="185">MIN(AD396+AF396+AG396+AI396,R396)</f>
        <v>808.33333333333337</v>
      </c>
      <c r="T396" s="273">
        <f t="shared" ca="1" si="174"/>
        <v>-3.1832314562052488E-12</v>
      </c>
      <c r="U396" s="57">
        <f ca="1">(U395-V395)*(1+'Retirement Planning'!$J$23/12)</f>
        <v>833276.44475982955</v>
      </c>
      <c r="V396" s="24">
        <f ca="1">IF(AND($B$10&lt;55,B396&lt;59.5),MIN(U396,MAX(0,(Y396+AA396+AJ396-G396)*'Retirement Planning'!$J$45)),IF(B396&lt;59.5,(MIN(U396,MAX(0,((Y396+AA396+AJ396)-G396-M396)*'Retirement Planning'!$J$45))),MIN(U396,MAX(0,(Y396+AA396+AJ396-G396-M396-K396-X396)*'Retirement Planning'!$J$45))))</f>
        <v>1786.957469170424</v>
      </c>
      <c r="W396" s="7">
        <f t="shared" ca="1" si="175"/>
        <v>4307218.9477827474</v>
      </c>
      <c r="X396" s="7">
        <f>(IF(B396&gt;'Retirement Planning'!$J$34,IF('Retirement Planning'!$J$34=70,'Retirement Planning'!$J$37/12,IF('Retirement Planning'!$J$34=67,'Retirement Planning'!$J$36/12,'Retirement Planning'!$J$35/12)),0))*'Retirement Planning'!$J$38</f>
        <v>1213.6000000000001</v>
      </c>
      <c r="Y396" s="7">
        <f ca="1">'Retirement Planning'!$F$35*((1+'Retirement Planning'!$J$24)^(YEAR('Projected Retirement Drawdown'!C396)-YEAR(TODAY())))</f>
        <v>15609.407274918147</v>
      </c>
      <c r="Z396" s="7">
        <f ca="1">G396+M396+O396+0.85*X396+V396*'Retirement Planning'!$J$46+T396</f>
        <v>17361.834091202127</v>
      </c>
      <c r="AA396" s="7">
        <f ca="1">IF(MONTH(C396)=1,(((MIN(MAX(0,((SUM(Z384:Z395)-'Retirement Planning'!$I$53-'Retirement Planning'!$I$54)-'Retirement Planning'!$J$51)*'Retirement Planning'!$I$52))))+(MIN(MAX(0,((SUM(Z384:Z395)-'Retirement Planning'!$I$53-'Retirement Planning'!$I$54)-'Retirement Planning'!$J$50)*'Retirement Planning'!$I$51),('Retirement Planning'!$J$51-'Retirement Planning'!$J$50)*'Retirement Planning'!$I$51))+(MIN(MAX(0,((SUM(Z384:Z395)-'Retirement Planning'!$I$53-'Retirement Planning'!$I$54)-'Retirement Planning'!$J$49)*'Retirement Planning'!$I$50),('Retirement Planning'!$J$50-'Retirement Planning'!$J$49)*'Retirement Planning'!$I$50)+MIN(MAX(0,((SUM(Z384:Z395)-'Retirement Planning'!$I$53-'Retirement Planning'!$I$54)-'Retirement Planning'!$J$48)*'Retirement Planning'!$I$49),('Retirement Planning'!$J$49-'Retirement Planning'!$J$48)*'Retirement Planning'!$I$49)+MIN(((SUM(Z384:Z395)-'Retirement Planning'!$I$53-'Retirement Planning'!$I$54))*'Retirement Planning'!$I$48,('Retirement Planning'!$J$48)*'Retirement Planning'!$I$48))+(IF((SUM(Z384:Z395)-'Retirement Planning'!$I$54-'Retirement Planning'!$I$61)&gt;'Retirement Planning'!$J$59,(SUM(Z384:Z395)-'Retirement Planning'!$I$54-'Retirement Planning'!$I$61-'Retirement Planning'!$J$59)*'Retirement Planning'!$I$60+'Retirement Planning'!$K$59,IF((SUM(Z384:Z395)-'Retirement Planning'!$I$54-'Retirement Planning'!$I$61)&gt;'Retirement Planning'!$J$58,(SUM(Z384:Z395)-'Retirement Planning'!$I$54-'Retirement Planning'!$I$61-'Retirement Planning'!$J$58)*'Retirement Planning'!$I$59+'Retirement Planning'!$K$58,IF((SUM(Z384:Z395)-'Retirement Planning'!$I$54-'Retirement Planning'!$I$61)&gt;'Retirement Planning'!$J$57,(SUM(Z384:Z395)-'Retirement Planning'!$I$54-'Retirement Planning'!$I$61-'Retirement Planning'!$J$57)*'Retirement Planning'!$I$58+'Retirement Planning'!$K$57,IF((SUM(Z384:Z395)-'Retirement Planning'!$I$54-'Retirement Planning'!$I$61)&gt;'Retirement Planning'!$J$56,(SUM(Z384:Z395)-'Retirement Planning'!$I$54-'Retirement Planning'!$I$61-'Retirement Planning'!$J$56)*'Retirement Planning'!$I$57+'Retirement Planning'!$K$56,(SUM(Z384:Z395)-'Retirement Planning'!$I$54-'Retirement Planning'!$I$61)*'Retirement Planning'!$I$56))))))/12,AA395)</f>
        <v>4519.6636919440725</v>
      </c>
      <c r="AB396" s="104">
        <f t="shared" ca="1" si="164"/>
        <v>0.27004671047109935</v>
      </c>
      <c r="AC396" s="7">
        <f>IF(B396&lt;65,'Retirement Planning'!$J$28,0)</f>
        <v>0</v>
      </c>
      <c r="AD396" s="7">
        <f>IF(B396&lt;65,'Retirement Planning'!$J$29/12,0)</f>
        <v>0</v>
      </c>
      <c r="AE396" s="22">
        <f>'Retirement Planning'!$J$31/12</f>
        <v>58.333333333333336</v>
      </c>
      <c r="AF396" s="22">
        <f>'Retirement Planning'!$J$32/12</f>
        <v>66.666666666666671</v>
      </c>
      <c r="AG396" s="7">
        <f>IF($B396&gt;64.9,'Retirement Planning'!$J$39/12,0)</f>
        <v>183.33333333333334</v>
      </c>
      <c r="AH396" s="7">
        <f>IF($B396&gt;64.9,'Retirement Planning'!$J$40/12,0)</f>
        <v>258.33333333333331</v>
      </c>
      <c r="AI396" s="7">
        <f>IF($B396&gt;64.9,'Retirement Planning'!$J$41/12,0)</f>
        <v>558.33333333333337</v>
      </c>
      <c r="AJ396" s="7">
        <f t="shared" ca="1" si="176"/>
        <v>316.66666666666663</v>
      </c>
      <c r="AK396" s="3" t="str">
        <f t="shared" ca="1" si="162"/>
        <v>N/A</v>
      </c>
      <c r="AL396" s="6" t="str">
        <f t="shared" ca="1" si="163"/>
        <v>N/A</v>
      </c>
      <c r="AM396" s="7">
        <f t="shared" ca="1" si="177"/>
        <v>1.1368683772161603E-12</v>
      </c>
      <c r="AN396" s="7">
        <f t="shared" ca="1" si="178"/>
        <v>21254.070966862218</v>
      </c>
      <c r="AO396" s="7">
        <f t="shared" si="179"/>
        <v>1125</v>
      </c>
    </row>
    <row r="397" spans="1:41" x14ac:dyDescent="0.2">
      <c r="A397">
        <f t="shared" si="180"/>
        <v>50</v>
      </c>
      <c r="B397" s="5">
        <f t="shared" si="181"/>
        <v>88.5</v>
      </c>
      <c r="C397" s="56">
        <f t="shared" si="182"/>
        <v>58196</v>
      </c>
      <c r="D397" s="57">
        <f ca="1">IF(AND(B396&lt;59.5,OR(B397&gt;59.5,B397=59.5)),(D396-E396+J396-K396)*(1+'Retirement Planning'!$J$23/12),(D396-E396)*(1+'Retirement Planning'!$J$23/12))</f>
        <v>1027838.9713812628</v>
      </c>
      <c r="E397" s="58">
        <f t="shared" ca="1" si="171"/>
        <v>2097.7326812000629</v>
      </c>
      <c r="F397" s="57">
        <f ca="1">IF(AND(OR(B397&gt;59.5,B397=59.5),B396&lt;59.5),(F396-G396+L396-M396+N396-O396)*(1+'Retirement Planning'!$J$23/12),(F396-G396)*(1+'Retirement Planning'!$J$23/12))</f>
        <v>985106.79642221215</v>
      </c>
      <c r="G397" s="58">
        <f ca="1">IF(AND($B$10&lt;55,B397&lt;59.5),'Retirement Planning'!$J$25,IF(OR(B397&gt;59.5,B397=59.5),MAX(0,MIN(F397,IF(D397&lt;2500,((Y397+AJ397+AA397))-X397,((Y397+AJ397+AA397)*'Retirement Planning'!$J$44)-X397))),0))</f>
        <v>15347.447483158399</v>
      </c>
      <c r="H397" s="255">
        <f ca="1">IF(MONTH(C397)=1,IF(B397&gt;69.5,F397/(INDEX('Retirement Planning'!D$1:D$264,(160+INT(B397))))/12,0),IF(F397=0,0,H396))</f>
        <v>12667.0140219972</v>
      </c>
      <c r="I397" s="262">
        <f t="shared" ca="1" si="172"/>
        <v>0</v>
      </c>
      <c r="J397" s="254">
        <f ca="1">IF(AND(B396&lt;59.5,OR(B397=59.5,B397&gt;59.5)),0,(J396-K396)*(1+'Retirement Planning'!$J$23/12))</f>
        <v>0</v>
      </c>
      <c r="K397" s="58">
        <f t="shared" ca="1" si="173"/>
        <v>0</v>
      </c>
      <c r="L397" s="57">
        <f>IF(AND(OR(B397&gt;59.5,B397=59.5),B396&lt;59.5),0,(L396-M396)*(1+'Retirement Planning'!$J$23/12))</f>
        <v>0</v>
      </c>
      <c r="M397" s="59">
        <f>IF(AND($B$10&lt;55,B397&lt;59.5),0,IF(B397&lt;59.5,MAX(0,MIN((($Y397+$AJ397+AA397)*'Retirement Planning'!$J$44)-$G397-$X397,L397)),0))</f>
        <v>0</v>
      </c>
      <c r="N397" s="57">
        <f ca="1">(N396-O396)*(1+'Retirement Planning'!$J$23/12)</f>
        <v>0</v>
      </c>
      <c r="O397" s="59">
        <f ca="1">IF(B397&gt;59.5,MAX(0,MIN((AA397+$Y397+$AJ397)*(IF(D397&lt;(MIN(E385:E396)+1),1,'Retirement Planning'!$J$44))-M397-$G397-$X397-(IF(D397&lt;(MIN(E385:E396)+1),D397,0)),N397)),0)</f>
        <v>0</v>
      </c>
      <c r="P397" s="57">
        <f t="shared" si="183"/>
        <v>0</v>
      </c>
      <c r="Q397" s="58">
        <f t="shared" si="184"/>
        <v>0</v>
      </c>
      <c r="R397" s="57">
        <f ca="1">(R396-S396-T396)*(1+'Retirement Planning'!$J$23/12)</f>
        <v>1467221.0187308881</v>
      </c>
      <c r="S397" s="58">
        <f t="shared" ca="1" si="185"/>
        <v>808.33333333333337</v>
      </c>
      <c r="T397" s="273">
        <f t="shared" ca="1" si="174"/>
        <v>-3.1832314562052488E-12</v>
      </c>
      <c r="U397" s="57">
        <f ca="1">(U396-V396)*(1+'Retirement Planning'!$J$23/12)</f>
        <v>837379.20449230121</v>
      </c>
      <c r="V397" s="24">
        <f ca="1">IF(AND($B$10&lt;55,B397&lt;59.5),MIN(U397,MAX(0,(Y397+AA397+AJ397-G397)*'Retirement Planning'!$J$45)),IF(B397&lt;59.5,(MIN(U397,MAX(0,((Y397+AA397+AJ397)-G397-M397)*'Retirement Planning'!$J$45))),MIN(U397,MAX(0,(Y397+AA397+AJ397-G397-M397-K397-X397)*'Retirement Planning'!$J$45))))</f>
        <v>1786.957469170424</v>
      </c>
      <c r="W397" s="7">
        <f t="shared" ca="1" si="175"/>
        <v>4317545.9910266642</v>
      </c>
      <c r="X397" s="7">
        <f>(IF(B397&gt;'Retirement Planning'!$J$34,IF('Retirement Planning'!$J$34=70,'Retirement Planning'!$J$37/12,IF('Retirement Planning'!$J$34=67,'Retirement Planning'!$J$36/12,'Retirement Planning'!$J$35/12)),0))*'Retirement Planning'!$J$38</f>
        <v>1213.6000000000001</v>
      </c>
      <c r="Y397" s="7">
        <f ca="1">'Retirement Planning'!$F$35*((1+'Retirement Planning'!$J$24)^(YEAR('Projected Retirement Drawdown'!C397)-YEAR(TODAY())))</f>
        <v>15609.407274918147</v>
      </c>
      <c r="Z397" s="7">
        <f ca="1">G397+M397+O397+0.85*X397+V397*'Retirement Planning'!$J$46+T397</f>
        <v>17361.834091202127</v>
      </c>
      <c r="AA397" s="7">
        <f ca="1">IF(MONTH(C397)=1,(((MIN(MAX(0,((SUM(Z385:Z396)-'Retirement Planning'!$I$53-'Retirement Planning'!$I$54)-'Retirement Planning'!$J$51)*'Retirement Planning'!$I$52))))+(MIN(MAX(0,((SUM(Z385:Z396)-'Retirement Planning'!$I$53-'Retirement Planning'!$I$54)-'Retirement Planning'!$J$50)*'Retirement Planning'!$I$51),('Retirement Planning'!$J$51-'Retirement Planning'!$J$50)*'Retirement Planning'!$I$51))+(MIN(MAX(0,((SUM(Z385:Z396)-'Retirement Planning'!$I$53-'Retirement Planning'!$I$54)-'Retirement Planning'!$J$49)*'Retirement Planning'!$I$50),('Retirement Planning'!$J$50-'Retirement Planning'!$J$49)*'Retirement Planning'!$I$50)+MIN(MAX(0,((SUM(Z385:Z396)-'Retirement Planning'!$I$53-'Retirement Planning'!$I$54)-'Retirement Planning'!$J$48)*'Retirement Planning'!$I$49),('Retirement Planning'!$J$49-'Retirement Planning'!$J$48)*'Retirement Planning'!$I$49)+MIN(((SUM(Z385:Z396)-'Retirement Planning'!$I$53-'Retirement Planning'!$I$54))*'Retirement Planning'!$I$48,('Retirement Planning'!$J$48)*'Retirement Planning'!$I$48))+(IF((SUM(Z385:Z396)-'Retirement Planning'!$I$54-'Retirement Planning'!$I$61)&gt;'Retirement Planning'!$J$59,(SUM(Z385:Z396)-'Retirement Planning'!$I$54-'Retirement Planning'!$I$61-'Retirement Planning'!$J$59)*'Retirement Planning'!$I$60+'Retirement Planning'!$K$59,IF((SUM(Z385:Z396)-'Retirement Planning'!$I$54-'Retirement Planning'!$I$61)&gt;'Retirement Planning'!$J$58,(SUM(Z385:Z396)-'Retirement Planning'!$I$54-'Retirement Planning'!$I$61-'Retirement Planning'!$J$58)*'Retirement Planning'!$I$59+'Retirement Planning'!$K$58,IF((SUM(Z385:Z396)-'Retirement Planning'!$I$54-'Retirement Planning'!$I$61)&gt;'Retirement Planning'!$J$57,(SUM(Z385:Z396)-'Retirement Planning'!$I$54-'Retirement Planning'!$I$61-'Retirement Planning'!$J$57)*'Retirement Planning'!$I$58+'Retirement Planning'!$K$57,IF((SUM(Z385:Z396)-'Retirement Planning'!$I$54-'Retirement Planning'!$I$61)&gt;'Retirement Planning'!$J$56,(SUM(Z385:Z396)-'Retirement Planning'!$I$54-'Retirement Planning'!$I$61-'Retirement Planning'!$J$56)*'Retirement Planning'!$I$57+'Retirement Planning'!$K$56,(SUM(Z385:Z396)-'Retirement Planning'!$I$54-'Retirement Planning'!$I$61)*'Retirement Planning'!$I$56))))))/12,AA396)</f>
        <v>4519.6636919440725</v>
      </c>
      <c r="AB397" s="104">
        <f t="shared" ca="1" si="164"/>
        <v>0.27004671047109935</v>
      </c>
      <c r="AC397" s="7">
        <f>IF(B397&lt;65,'Retirement Planning'!$J$28,0)</f>
        <v>0</v>
      </c>
      <c r="AD397" s="7">
        <f>IF(B397&lt;65,'Retirement Planning'!$J$29/12,0)</f>
        <v>0</v>
      </c>
      <c r="AE397" s="22">
        <f>'Retirement Planning'!$J$31/12</f>
        <v>58.333333333333336</v>
      </c>
      <c r="AF397" s="22">
        <f>'Retirement Planning'!$J$32/12</f>
        <v>66.666666666666671</v>
      </c>
      <c r="AG397" s="7">
        <f>IF($B397&gt;64.9,'Retirement Planning'!$J$39/12,0)</f>
        <v>183.33333333333334</v>
      </c>
      <c r="AH397" s="7">
        <f>IF($B397&gt;64.9,'Retirement Planning'!$J$40/12,0)</f>
        <v>258.33333333333331</v>
      </c>
      <c r="AI397" s="7">
        <f>IF($B397&gt;64.9,'Retirement Planning'!$J$41/12,0)</f>
        <v>558.33333333333337</v>
      </c>
      <c r="AJ397" s="7">
        <f t="shared" ca="1" si="176"/>
        <v>316.66666666666663</v>
      </c>
      <c r="AK397" s="3" t="str">
        <f t="shared" ca="1" si="162"/>
        <v>N/A</v>
      </c>
      <c r="AL397" s="6" t="str">
        <f t="shared" ca="1" si="163"/>
        <v>N/A</v>
      </c>
      <c r="AM397" s="7">
        <f t="shared" ca="1" si="177"/>
        <v>1.1368683772161603E-12</v>
      </c>
      <c r="AN397" s="7">
        <f t="shared" ca="1" si="178"/>
        <v>21254.070966862218</v>
      </c>
      <c r="AO397" s="7">
        <f t="shared" si="179"/>
        <v>1125</v>
      </c>
    </row>
    <row r="398" spans="1:41" x14ac:dyDescent="0.2">
      <c r="A398">
        <f t="shared" si="180"/>
        <v>50</v>
      </c>
      <c r="B398" s="5">
        <f t="shared" si="181"/>
        <v>88.6</v>
      </c>
      <c r="C398" s="56">
        <f t="shared" si="182"/>
        <v>58227</v>
      </c>
      <c r="D398" s="57">
        <f ca="1">IF(AND(B397&lt;59.5,OR(B398&gt;59.5,B398=59.5)),(D397-E397+J397-K397)*(1+'Retirement Planning'!$J$23/12),(D397-E397)*(1+'Retirement Planning'!$J$23/12))</f>
        <v>1033006.9058075215</v>
      </c>
      <c r="E398" s="58">
        <f t="shared" ca="1" si="171"/>
        <v>2097.7326812000629</v>
      </c>
      <c r="F398" s="57">
        <f ca="1">IF(AND(OR(B398&gt;59.5,B398=59.5),B397&lt;59.5),(F397-G397+L397-M397+N397-O397)*(1+'Retirement Planning'!$J$23/12),(F397-G397)*(1+'Retirement Planning'!$J$23/12))</f>
        <v>976628.47766070534</v>
      </c>
      <c r="G398" s="58">
        <f ca="1">IF(AND($B$10&lt;55,B398&lt;59.5),'Retirement Planning'!$J$25,IF(OR(B398&gt;59.5,B398=59.5),MAX(0,MIN(F398,IF(D398&lt;2500,((Y398+AJ398+AA398))-X398,((Y398+AJ398+AA398)*'Retirement Planning'!$J$44)-X398))),0))</f>
        <v>15347.447483158399</v>
      </c>
      <c r="H398" s="255">
        <f ca="1">IF(MONTH(C398)=1,IF(B398&gt;69.5,F398/(INDEX('Retirement Planning'!D$1:D$264,(160+INT(B398))))/12,0),IF(F398=0,0,H397))</f>
        <v>12667.0140219972</v>
      </c>
      <c r="I398" s="262">
        <f t="shared" ca="1" si="172"/>
        <v>0</v>
      </c>
      <c r="J398" s="254">
        <f ca="1">IF(AND(B397&lt;59.5,OR(B398=59.5,B398&gt;59.5)),0,(J397-K397)*(1+'Retirement Planning'!$J$23/12))</f>
        <v>0</v>
      </c>
      <c r="K398" s="58">
        <f t="shared" ca="1" si="173"/>
        <v>0</v>
      </c>
      <c r="L398" s="57">
        <f>IF(AND(OR(B398&gt;59.5,B398=59.5),B397&lt;59.5),0,(L397-M397)*(1+'Retirement Planning'!$J$23/12))</f>
        <v>0</v>
      </c>
      <c r="M398" s="59">
        <f>IF(AND($B$10&lt;55,B398&lt;59.5),0,IF(B398&lt;59.5,MAX(0,MIN((($Y398+$AJ398+AA398)*'Retirement Planning'!$J$44)-$G398-$X398,L398)),0))</f>
        <v>0</v>
      </c>
      <c r="N398" s="57">
        <f ca="1">(N397-O397)*(1+'Retirement Planning'!$J$23/12)</f>
        <v>0</v>
      </c>
      <c r="O398" s="59">
        <f ca="1">IF(B398&gt;59.5,MAX(0,MIN((AA398+$Y398+$AJ398)*(IF(D398&lt;(MIN(E386:E397)+1),1,'Retirement Planning'!$J$44))-M398-$G398-$X398-(IF(D398&lt;(MIN(E386:E397)+1),D398,0)),N398)),0)</f>
        <v>0</v>
      </c>
      <c r="P398" s="57">
        <f t="shared" si="183"/>
        <v>0</v>
      </c>
      <c r="Q398" s="58">
        <f t="shared" si="184"/>
        <v>0</v>
      </c>
      <c r="R398" s="57">
        <f ca="1">(R397-S397-T397)*(1+'Retirement Planning'!$J$23/12)</f>
        <v>1476799.7752524542</v>
      </c>
      <c r="S398" s="58">
        <f t="shared" ca="1" si="185"/>
        <v>808.33333333333337</v>
      </c>
      <c r="T398" s="273">
        <f t="shared" ca="1" si="174"/>
        <v>-3.1832314562052488E-12</v>
      </c>
      <c r="U398" s="57">
        <f ca="1">(U397-V397)*(1+'Retirement Planning'!$J$23/12)</f>
        <v>841511.02543954458</v>
      </c>
      <c r="V398" s="24">
        <f ca="1">IF(AND($B$10&lt;55,B398&lt;59.5),MIN(U398,MAX(0,(Y398+AA398+AJ398-G398)*'Retirement Planning'!$J$45)),IF(B398&lt;59.5,(MIN(U398,MAX(0,((Y398+AA398+AJ398)-G398-M398)*'Retirement Planning'!$J$45))),MIN(U398,MAX(0,(Y398+AA398+AJ398-G398-M398-K398-X398)*'Retirement Planning'!$J$45))))</f>
        <v>1786.957469170424</v>
      </c>
      <c r="W398" s="7">
        <f t="shared" ca="1" si="175"/>
        <v>4327946.184160226</v>
      </c>
      <c r="X398" s="7">
        <f>(IF(B398&gt;'Retirement Planning'!$J$34,IF('Retirement Planning'!$J$34=70,'Retirement Planning'!$J$37/12,IF('Retirement Planning'!$J$34=67,'Retirement Planning'!$J$36/12,'Retirement Planning'!$J$35/12)),0))*'Retirement Planning'!$J$38</f>
        <v>1213.6000000000001</v>
      </c>
      <c r="Y398" s="7">
        <f ca="1">'Retirement Planning'!$F$35*((1+'Retirement Planning'!$J$24)^(YEAR('Projected Retirement Drawdown'!C398)-YEAR(TODAY())))</f>
        <v>15609.407274918147</v>
      </c>
      <c r="Z398" s="7">
        <f ca="1">G398+M398+O398+0.85*X398+V398*'Retirement Planning'!$J$46+T398</f>
        <v>17361.834091202127</v>
      </c>
      <c r="AA398" s="7">
        <f ca="1">IF(MONTH(C398)=1,(((MIN(MAX(0,((SUM(Z386:Z397)-'Retirement Planning'!$I$53-'Retirement Planning'!$I$54)-'Retirement Planning'!$J$51)*'Retirement Planning'!$I$52))))+(MIN(MAX(0,((SUM(Z386:Z397)-'Retirement Planning'!$I$53-'Retirement Planning'!$I$54)-'Retirement Planning'!$J$50)*'Retirement Planning'!$I$51),('Retirement Planning'!$J$51-'Retirement Planning'!$J$50)*'Retirement Planning'!$I$51))+(MIN(MAX(0,((SUM(Z386:Z397)-'Retirement Planning'!$I$53-'Retirement Planning'!$I$54)-'Retirement Planning'!$J$49)*'Retirement Planning'!$I$50),('Retirement Planning'!$J$50-'Retirement Planning'!$J$49)*'Retirement Planning'!$I$50)+MIN(MAX(0,((SUM(Z386:Z397)-'Retirement Planning'!$I$53-'Retirement Planning'!$I$54)-'Retirement Planning'!$J$48)*'Retirement Planning'!$I$49),('Retirement Planning'!$J$49-'Retirement Planning'!$J$48)*'Retirement Planning'!$I$49)+MIN(((SUM(Z386:Z397)-'Retirement Planning'!$I$53-'Retirement Planning'!$I$54))*'Retirement Planning'!$I$48,('Retirement Planning'!$J$48)*'Retirement Planning'!$I$48))+(IF((SUM(Z386:Z397)-'Retirement Planning'!$I$54-'Retirement Planning'!$I$61)&gt;'Retirement Planning'!$J$59,(SUM(Z386:Z397)-'Retirement Planning'!$I$54-'Retirement Planning'!$I$61-'Retirement Planning'!$J$59)*'Retirement Planning'!$I$60+'Retirement Planning'!$K$59,IF((SUM(Z386:Z397)-'Retirement Planning'!$I$54-'Retirement Planning'!$I$61)&gt;'Retirement Planning'!$J$58,(SUM(Z386:Z397)-'Retirement Planning'!$I$54-'Retirement Planning'!$I$61-'Retirement Planning'!$J$58)*'Retirement Planning'!$I$59+'Retirement Planning'!$K$58,IF((SUM(Z386:Z397)-'Retirement Planning'!$I$54-'Retirement Planning'!$I$61)&gt;'Retirement Planning'!$J$57,(SUM(Z386:Z397)-'Retirement Planning'!$I$54-'Retirement Planning'!$I$61-'Retirement Planning'!$J$57)*'Retirement Planning'!$I$58+'Retirement Planning'!$K$57,IF((SUM(Z386:Z397)-'Retirement Planning'!$I$54-'Retirement Planning'!$I$61)&gt;'Retirement Planning'!$J$56,(SUM(Z386:Z397)-'Retirement Planning'!$I$54-'Retirement Planning'!$I$61-'Retirement Planning'!$J$56)*'Retirement Planning'!$I$57+'Retirement Planning'!$K$56,(SUM(Z386:Z397)-'Retirement Planning'!$I$54-'Retirement Planning'!$I$61)*'Retirement Planning'!$I$56))))))/12,AA397)</f>
        <v>4519.6636919440725</v>
      </c>
      <c r="AB398" s="104">
        <f t="shared" ca="1" si="164"/>
        <v>0.27004671047109935</v>
      </c>
      <c r="AC398" s="7">
        <f>IF(B398&lt;65,'Retirement Planning'!$J$28,0)</f>
        <v>0</v>
      </c>
      <c r="AD398" s="7">
        <f>IF(B398&lt;65,'Retirement Planning'!$J$29/12,0)</f>
        <v>0</v>
      </c>
      <c r="AE398" s="22">
        <f>'Retirement Planning'!$J$31/12</f>
        <v>58.333333333333336</v>
      </c>
      <c r="AF398" s="22">
        <f>'Retirement Planning'!$J$32/12</f>
        <v>66.666666666666671</v>
      </c>
      <c r="AG398" s="7">
        <f>IF($B398&gt;64.9,'Retirement Planning'!$J$39/12,0)</f>
        <v>183.33333333333334</v>
      </c>
      <c r="AH398" s="7">
        <f>IF($B398&gt;64.9,'Retirement Planning'!$J$40/12,0)</f>
        <v>258.33333333333331</v>
      </c>
      <c r="AI398" s="7">
        <f>IF($B398&gt;64.9,'Retirement Planning'!$J$41/12,0)</f>
        <v>558.33333333333337</v>
      </c>
      <c r="AJ398" s="7">
        <f t="shared" ca="1" si="176"/>
        <v>316.66666666666663</v>
      </c>
      <c r="AK398" s="3" t="str">
        <f t="shared" ca="1" si="162"/>
        <v>N/A</v>
      </c>
      <c r="AL398" s="6" t="str">
        <f t="shared" ca="1" si="163"/>
        <v>N/A</v>
      </c>
      <c r="AM398" s="7">
        <f t="shared" ca="1" si="177"/>
        <v>1.1368683772161603E-12</v>
      </c>
      <c r="AN398" s="7">
        <f t="shared" ca="1" si="178"/>
        <v>21254.070966862218</v>
      </c>
      <c r="AO398" s="7">
        <f t="shared" si="179"/>
        <v>1125</v>
      </c>
    </row>
    <row r="399" spans="1:41" x14ac:dyDescent="0.2">
      <c r="A399">
        <f t="shared" si="180"/>
        <v>50</v>
      </c>
      <c r="B399" s="5">
        <f t="shared" si="181"/>
        <v>88.7</v>
      </c>
      <c r="C399" s="56">
        <f t="shared" si="182"/>
        <v>58257</v>
      </c>
      <c r="D399" s="57">
        <f ca="1">IF(AND(B398&lt;59.5,OR(B399&gt;59.5,B399=59.5)),(D398-E398+J398-K398)*(1+'Retirement Planning'!$J$23/12),(D398-E398)*(1+'Retirement Planning'!$J$23/12))</f>
        <v>1038211.4464359663</v>
      </c>
      <c r="E399" s="58">
        <f t="shared" ca="1" si="171"/>
        <v>2097.7326812000629</v>
      </c>
      <c r="F399" s="57">
        <f ca="1">IF(AND(OR(B399&gt;59.5,B399=59.5),B398&lt;59.5),(F398-G398+L398-M398+N398-O398)*(1+'Retirement Planning'!$J$23/12),(F398-G398)*(1+'Retirement Planning'!$J$23/12))</f>
        <v>968090.1041413045</v>
      </c>
      <c r="G399" s="58">
        <f ca="1">IF(AND($B$10&lt;55,B399&lt;59.5),'Retirement Planning'!$J$25,IF(OR(B399&gt;59.5,B399=59.5),MAX(0,MIN(F399,IF(D399&lt;2500,((Y399+AJ399+AA399))-X399,((Y399+AJ399+AA399)*'Retirement Planning'!$J$44)-X399))),0))</f>
        <v>15347.447483158399</v>
      </c>
      <c r="H399" s="255">
        <f ca="1">IF(MONTH(C399)=1,IF(B399&gt;69.5,F399/(INDEX('Retirement Planning'!D$1:D$264,(160+INT(B399))))/12,0),IF(F399=0,0,H398))</f>
        <v>12667.0140219972</v>
      </c>
      <c r="I399" s="262">
        <f t="shared" ca="1" si="172"/>
        <v>0</v>
      </c>
      <c r="J399" s="254">
        <f ca="1">IF(AND(B398&lt;59.5,OR(B399=59.5,B399&gt;59.5)),0,(J398-K398)*(1+'Retirement Planning'!$J$23/12))</f>
        <v>0</v>
      </c>
      <c r="K399" s="58">
        <f t="shared" ca="1" si="173"/>
        <v>0</v>
      </c>
      <c r="L399" s="57">
        <f>IF(AND(OR(B399&gt;59.5,B399=59.5),B398&lt;59.5),0,(L398-M398)*(1+'Retirement Planning'!$J$23/12))</f>
        <v>0</v>
      </c>
      <c r="M399" s="59">
        <f>IF(AND($B$10&lt;55,B399&lt;59.5),0,IF(B399&lt;59.5,MAX(0,MIN((($Y399+$AJ399+AA399)*'Retirement Planning'!$J$44)-$G399-$X399,L399)),0))</f>
        <v>0</v>
      </c>
      <c r="N399" s="57">
        <f ca="1">(N398-O398)*(1+'Retirement Planning'!$J$23/12)</f>
        <v>0</v>
      </c>
      <c r="O399" s="59">
        <f ca="1">IF(B399&gt;59.5,MAX(0,MIN((AA399+$Y399+$AJ399)*(IF(D399&lt;(MIN(E387:E398)+1),1,'Retirement Planning'!$J$44))-M399-$G399-$X399-(IF(D399&lt;(MIN(E387:E398)+1),D399,0)),N399)),0)</f>
        <v>0</v>
      </c>
      <c r="P399" s="57">
        <f t="shared" si="183"/>
        <v>0</v>
      </c>
      <c r="Q399" s="58">
        <f t="shared" si="184"/>
        <v>0</v>
      </c>
      <c r="R399" s="57">
        <f ca="1">(R398-S398-T398)*(1+'Retirement Planning'!$J$23/12)</f>
        <v>1486446.3812993814</v>
      </c>
      <c r="S399" s="58">
        <f t="shared" ca="1" si="185"/>
        <v>808.33333333333337</v>
      </c>
      <c r="T399" s="273">
        <f t="shared" ca="1" si="174"/>
        <v>-3.1832314562052488E-12</v>
      </c>
      <c r="U399" s="57">
        <f ca="1">(U398-V398)*(1+'Retirement Planning'!$J$23/12)</f>
        <v>845672.11345183093</v>
      </c>
      <c r="V399" s="24">
        <f ca="1">IF(AND($B$10&lt;55,B399&lt;59.5),MIN(U399,MAX(0,(Y399+AA399+AJ399-G399)*'Retirement Planning'!$J$45)),IF(B399&lt;59.5,(MIN(U399,MAX(0,((Y399+AA399+AJ399)-G399-M399)*'Retirement Planning'!$J$45))),MIN(U399,MAX(0,(Y399+AA399+AJ399-G399-M399-K399-X399)*'Retirement Planning'!$J$45))))</f>
        <v>1786.957469170424</v>
      </c>
      <c r="W399" s="7">
        <f t="shared" ca="1" si="175"/>
        <v>4338420.045328483</v>
      </c>
      <c r="X399" s="7">
        <f>(IF(B399&gt;'Retirement Planning'!$J$34,IF('Retirement Planning'!$J$34=70,'Retirement Planning'!$J$37/12,IF('Retirement Planning'!$J$34=67,'Retirement Planning'!$J$36/12,'Retirement Planning'!$J$35/12)),0))*'Retirement Planning'!$J$38</f>
        <v>1213.6000000000001</v>
      </c>
      <c r="Y399" s="7">
        <f ca="1">'Retirement Planning'!$F$35*((1+'Retirement Planning'!$J$24)^(YEAR('Projected Retirement Drawdown'!C399)-YEAR(TODAY())))</f>
        <v>15609.407274918147</v>
      </c>
      <c r="Z399" s="7">
        <f ca="1">G399+M399+O399+0.85*X399+V399*'Retirement Planning'!$J$46+T399</f>
        <v>17361.834091202127</v>
      </c>
      <c r="AA399" s="7">
        <f ca="1">IF(MONTH(C399)=1,(((MIN(MAX(0,((SUM(Z387:Z398)-'Retirement Planning'!$I$53-'Retirement Planning'!$I$54)-'Retirement Planning'!$J$51)*'Retirement Planning'!$I$52))))+(MIN(MAX(0,((SUM(Z387:Z398)-'Retirement Planning'!$I$53-'Retirement Planning'!$I$54)-'Retirement Planning'!$J$50)*'Retirement Planning'!$I$51),('Retirement Planning'!$J$51-'Retirement Planning'!$J$50)*'Retirement Planning'!$I$51))+(MIN(MAX(0,((SUM(Z387:Z398)-'Retirement Planning'!$I$53-'Retirement Planning'!$I$54)-'Retirement Planning'!$J$49)*'Retirement Planning'!$I$50),('Retirement Planning'!$J$50-'Retirement Planning'!$J$49)*'Retirement Planning'!$I$50)+MIN(MAX(0,((SUM(Z387:Z398)-'Retirement Planning'!$I$53-'Retirement Planning'!$I$54)-'Retirement Planning'!$J$48)*'Retirement Planning'!$I$49),('Retirement Planning'!$J$49-'Retirement Planning'!$J$48)*'Retirement Planning'!$I$49)+MIN(((SUM(Z387:Z398)-'Retirement Planning'!$I$53-'Retirement Planning'!$I$54))*'Retirement Planning'!$I$48,('Retirement Planning'!$J$48)*'Retirement Planning'!$I$48))+(IF((SUM(Z387:Z398)-'Retirement Planning'!$I$54-'Retirement Planning'!$I$61)&gt;'Retirement Planning'!$J$59,(SUM(Z387:Z398)-'Retirement Planning'!$I$54-'Retirement Planning'!$I$61-'Retirement Planning'!$J$59)*'Retirement Planning'!$I$60+'Retirement Planning'!$K$59,IF((SUM(Z387:Z398)-'Retirement Planning'!$I$54-'Retirement Planning'!$I$61)&gt;'Retirement Planning'!$J$58,(SUM(Z387:Z398)-'Retirement Planning'!$I$54-'Retirement Planning'!$I$61-'Retirement Planning'!$J$58)*'Retirement Planning'!$I$59+'Retirement Planning'!$K$58,IF((SUM(Z387:Z398)-'Retirement Planning'!$I$54-'Retirement Planning'!$I$61)&gt;'Retirement Planning'!$J$57,(SUM(Z387:Z398)-'Retirement Planning'!$I$54-'Retirement Planning'!$I$61-'Retirement Planning'!$J$57)*'Retirement Planning'!$I$58+'Retirement Planning'!$K$57,IF((SUM(Z387:Z398)-'Retirement Planning'!$I$54-'Retirement Planning'!$I$61)&gt;'Retirement Planning'!$J$56,(SUM(Z387:Z398)-'Retirement Planning'!$I$54-'Retirement Planning'!$I$61-'Retirement Planning'!$J$56)*'Retirement Planning'!$I$57+'Retirement Planning'!$K$56,(SUM(Z387:Z398)-'Retirement Planning'!$I$54-'Retirement Planning'!$I$61)*'Retirement Planning'!$I$56))))))/12,AA398)</f>
        <v>4519.6636919440725</v>
      </c>
      <c r="AB399" s="104">
        <f t="shared" ca="1" si="164"/>
        <v>0.27004671047109935</v>
      </c>
      <c r="AC399" s="7">
        <f>IF(B399&lt;65,'Retirement Planning'!$J$28,0)</f>
        <v>0</v>
      </c>
      <c r="AD399" s="7">
        <f>IF(B399&lt;65,'Retirement Planning'!$J$29/12,0)</f>
        <v>0</v>
      </c>
      <c r="AE399" s="22">
        <f>'Retirement Planning'!$J$31/12</f>
        <v>58.333333333333336</v>
      </c>
      <c r="AF399" s="22">
        <f>'Retirement Planning'!$J$32/12</f>
        <v>66.666666666666671</v>
      </c>
      <c r="AG399" s="7">
        <f>IF($B399&gt;64.9,'Retirement Planning'!$J$39/12,0)</f>
        <v>183.33333333333334</v>
      </c>
      <c r="AH399" s="7">
        <f>IF($B399&gt;64.9,'Retirement Planning'!$J$40/12,0)</f>
        <v>258.33333333333331</v>
      </c>
      <c r="AI399" s="7">
        <f>IF($B399&gt;64.9,'Retirement Planning'!$J$41/12,0)</f>
        <v>558.33333333333337</v>
      </c>
      <c r="AJ399" s="7">
        <f t="shared" ca="1" si="176"/>
        <v>316.66666666666663</v>
      </c>
      <c r="AK399" s="3" t="str">
        <f t="shared" ca="1" si="162"/>
        <v>N/A</v>
      </c>
      <c r="AL399" s="6" t="str">
        <f t="shared" ca="1" si="163"/>
        <v>N/A</v>
      </c>
      <c r="AM399" s="7">
        <f t="shared" ca="1" si="177"/>
        <v>1.1368683772161603E-12</v>
      </c>
      <c r="AN399" s="7">
        <f t="shared" ca="1" si="178"/>
        <v>21254.070966862218</v>
      </c>
      <c r="AO399" s="7">
        <f t="shared" si="179"/>
        <v>1125</v>
      </c>
    </row>
    <row r="400" spans="1:41" x14ac:dyDescent="0.2">
      <c r="A400">
        <f t="shared" si="180"/>
        <v>50</v>
      </c>
      <c r="B400" s="5">
        <f t="shared" si="181"/>
        <v>88.8</v>
      </c>
      <c r="C400" s="56">
        <f t="shared" si="182"/>
        <v>58288</v>
      </c>
      <c r="D400" s="57">
        <f ca="1">IF(AND(B399&lt;59.5,OR(B400&gt;59.5,B400=59.5)),(D399-E399+J399-K399)*(1+'Retirement Planning'!$J$23/12),(D399-E399)*(1+'Retirement Planning'!$J$23/12))</f>
        <v>1043452.8525605293</v>
      </c>
      <c r="E400" s="58">
        <f t="shared" ca="1" si="171"/>
        <v>2097.7326812000629</v>
      </c>
      <c r="F400" s="57">
        <f ca="1">IF(AND(OR(B400&gt;59.5,B400=59.5),B399&lt;59.5),(F399-G399+L399-M399+N399-O399)*(1+'Retirement Planning'!$J$23/12),(F399-G399)*(1+'Retirement Planning'!$J$23/12))</f>
        <v>959491.25047614123</v>
      </c>
      <c r="G400" s="58">
        <f ca="1">IF(AND($B$10&lt;55,B400&lt;59.5),'Retirement Planning'!$J$25,IF(OR(B400&gt;59.5,B400=59.5),MAX(0,MIN(F400,IF(D400&lt;2500,((Y400+AJ400+AA400))-X400,((Y400+AJ400+AA400)*'Retirement Planning'!$J$44)-X400))),0))</f>
        <v>15347.447483158399</v>
      </c>
      <c r="H400" s="255">
        <f ca="1">IF(MONTH(C400)=1,IF(B400&gt;69.5,F400/(INDEX('Retirement Planning'!D$1:D$264,(160+INT(B400))))/12,0),IF(F400=0,0,H399))</f>
        <v>12667.0140219972</v>
      </c>
      <c r="I400" s="262">
        <f t="shared" ca="1" si="172"/>
        <v>0</v>
      </c>
      <c r="J400" s="254">
        <f ca="1">IF(AND(B399&lt;59.5,OR(B400=59.5,B400&gt;59.5)),0,(J399-K399)*(1+'Retirement Planning'!$J$23/12))</f>
        <v>0</v>
      </c>
      <c r="K400" s="58">
        <f t="shared" ca="1" si="173"/>
        <v>0</v>
      </c>
      <c r="L400" s="57">
        <f>IF(AND(OR(B400&gt;59.5,B400=59.5),B399&lt;59.5),0,(L399-M399)*(1+'Retirement Planning'!$J$23/12))</f>
        <v>0</v>
      </c>
      <c r="M400" s="59">
        <f>IF(AND($B$10&lt;55,B400&lt;59.5),0,IF(B400&lt;59.5,MAX(0,MIN((($Y400+$AJ400+AA400)*'Retirement Planning'!$J$44)-$G400-$X400,L400)),0))</f>
        <v>0</v>
      </c>
      <c r="N400" s="57">
        <f ca="1">(N399-O399)*(1+'Retirement Planning'!$J$23/12)</f>
        <v>0</v>
      </c>
      <c r="O400" s="59">
        <f ca="1">IF(B400&gt;59.5,MAX(0,MIN((AA400+$Y400+$AJ400)*(IF(D400&lt;(MIN(E388:E399)+1),1,'Retirement Planning'!$J$44))-M400-$G400-$X400-(IF(D400&lt;(MIN(E388:E399)+1),D400,0)),N400)),0)</f>
        <v>0</v>
      </c>
      <c r="P400" s="57">
        <f t="shared" si="183"/>
        <v>0</v>
      </c>
      <c r="Q400" s="58">
        <f t="shared" si="184"/>
        <v>0</v>
      </c>
      <c r="R400" s="57">
        <f ca="1">(R399-S399-T399)*(1+'Retirement Planning'!$J$23/12)</f>
        <v>1496161.3174724742</v>
      </c>
      <c r="S400" s="58">
        <f t="shared" ca="1" si="185"/>
        <v>808.33333333333337</v>
      </c>
      <c r="T400" s="273">
        <f t="shared" ca="1" si="174"/>
        <v>-3.1832314562052488E-12</v>
      </c>
      <c r="U400" s="57">
        <f ca="1">(U399-V399)*(1+'Retirement Planning'!$J$23/12)</f>
        <v>849862.67583753762</v>
      </c>
      <c r="V400" s="24">
        <f ca="1">IF(AND($B$10&lt;55,B400&lt;59.5),MIN(U400,MAX(0,(Y400+AA400+AJ400-G400)*'Retirement Planning'!$J$45)),IF(B400&lt;59.5,(MIN(U400,MAX(0,((Y400+AA400+AJ400)-G400-M400)*'Retirement Planning'!$J$45))),MIN(U400,MAX(0,(Y400+AA400+AJ400-G400-M400-K400-X400)*'Retirement Planning'!$J$45))))</f>
        <v>1786.957469170424</v>
      </c>
      <c r="W400" s="7">
        <f t="shared" ca="1" si="175"/>
        <v>4348968.0963466819</v>
      </c>
      <c r="X400" s="7">
        <f>(IF(B400&gt;'Retirement Planning'!$J$34,IF('Retirement Planning'!$J$34=70,'Retirement Planning'!$J$37/12,IF('Retirement Planning'!$J$34=67,'Retirement Planning'!$J$36/12,'Retirement Planning'!$J$35/12)),0))*'Retirement Planning'!$J$38</f>
        <v>1213.6000000000001</v>
      </c>
      <c r="Y400" s="7">
        <f ca="1">'Retirement Planning'!$F$35*((1+'Retirement Planning'!$J$24)^(YEAR('Projected Retirement Drawdown'!C400)-YEAR(TODAY())))</f>
        <v>15609.407274918147</v>
      </c>
      <c r="Z400" s="7">
        <f ca="1">G400+M400+O400+0.85*X400+V400*'Retirement Planning'!$J$46+T400</f>
        <v>17361.834091202127</v>
      </c>
      <c r="AA400" s="7">
        <f ca="1">IF(MONTH(C400)=1,(((MIN(MAX(0,((SUM(Z388:Z399)-'Retirement Planning'!$I$53-'Retirement Planning'!$I$54)-'Retirement Planning'!$J$51)*'Retirement Planning'!$I$52))))+(MIN(MAX(0,((SUM(Z388:Z399)-'Retirement Planning'!$I$53-'Retirement Planning'!$I$54)-'Retirement Planning'!$J$50)*'Retirement Planning'!$I$51),('Retirement Planning'!$J$51-'Retirement Planning'!$J$50)*'Retirement Planning'!$I$51))+(MIN(MAX(0,((SUM(Z388:Z399)-'Retirement Planning'!$I$53-'Retirement Planning'!$I$54)-'Retirement Planning'!$J$49)*'Retirement Planning'!$I$50),('Retirement Planning'!$J$50-'Retirement Planning'!$J$49)*'Retirement Planning'!$I$50)+MIN(MAX(0,((SUM(Z388:Z399)-'Retirement Planning'!$I$53-'Retirement Planning'!$I$54)-'Retirement Planning'!$J$48)*'Retirement Planning'!$I$49),('Retirement Planning'!$J$49-'Retirement Planning'!$J$48)*'Retirement Planning'!$I$49)+MIN(((SUM(Z388:Z399)-'Retirement Planning'!$I$53-'Retirement Planning'!$I$54))*'Retirement Planning'!$I$48,('Retirement Planning'!$J$48)*'Retirement Planning'!$I$48))+(IF((SUM(Z388:Z399)-'Retirement Planning'!$I$54-'Retirement Planning'!$I$61)&gt;'Retirement Planning'!$J$59,(SUM(Z388:Z399)-'Retirement Planning'!$I$54-'Retirement Planning'!$I$61-'Retirement Planning'!$J$59)*'Retirement Planning'!$I$60+'Retirement Planning'!$K$59,IF((SUM(Z388:Z399)-'Retirement Planning'!$I$54-'Retirement Planning'!$I$61)&gt;'Retirement Planning'!$J$58,(SUM(Z388:Z399)-'Retirement Planning'!$I$54-'Retirement Planning'!$I$61-'Retirement Planning'!$J$58)*'Retirement Planning'!$I$59+'Retirement Planning'!$K$58,IF((SUM(Z388:Z399)-'Retirement Planning'!$I$54-'Retirement Planning'!$I$61)&gt;'Retirement Planning'!$J$57,(SUM(Z388:Z399)-'Retirement Planning'!$I$54-'Retirement Planning'!$I$61-'Retirement Planning'!$J$57)*'Retirement Planning'!$I$58+'Retirement Planning'!$K$57,IF((SUM(Z388:Z399)-'Retirement Planning'!$I$54-'Retirement Planning'!$I$61)&gt;'Retirement Planning'!$J$56,(SUM(Z388:Z399)-'Retirement Planning'!$I$54-'Retirement Planning'!$I$61-'Retirement Planning'!$J$56)*'Retirement Planning'!$I$57+'Retirement Planning'!$K$56,(SUM(Z388:Z399)-'Retirement Planning'!$I$54-'Retirement Planning'!$I$61)*'Retirement Planning'!$I$56))))))/12,AA399)</f>
        <v>4519.6636919440725</v>
      </c>
      <c r="AB400" s="104">
        <f t="shared" ca="1" si="164"/>
        <v>0.27004671047109935</v>
      </c>
      <c r="AC400" s="7">
        <f>IF(B400&lt;65,'Retirement Planning'!$J$28,0)</f>
        <v>0</v>
      </c>
      <c r="AD400" s="7">
        <f>IF(B400&lt;65,'Retirement Planning'!$J$29/12,0)</f>
        <v>0</v>
      </c>
      <c r="AE400" s="22">
        <f>'Retirement Planning'!$J$31/12</f>
        <v>58.333333333333336</v>
      </c>
      <c r="AF400" s="22">
        <f>'Retirement Planning'!$J$32/12</f>
        <v>66.666666666666671</v>
      </c>
      <c r="AG400" s="7">
        <f>IF($B400&gt;64.9,'Retirement Planning'!$J$39/12,0)</f>
        <v>183.33333333333334</v>
      </c>
      <c r="AH400" s="7">
        <f>IF($B400&gt;64.9,'Retirement Planning'!$J$40/12,0)</f>
        <v>258.33333333333331</v>
      </c>
      <c r="AI400" s="7">
        <f>IF($B400&gt;64.9,'Retirement Planning'!$J$41/12,0)</f>
        <v>558.33333333333337</v>
      </c>
      <c r="AJ400" s="7">
        <f t="shared" ca="1" si="176"/>
        <v>316.66666666666663</v>
      </c>
      <c r="AK400" s="3" t="str">
        <f t="shared" ca="1" si="162"/>
        <v>N/A</v>
      </c>
      <c r="AL400" s="6" t="str">
        <f t="shared" ca="1" si="163"/>
        <v>N/A</v>
      </c>
      <c r="AM400" s="7">
        <f t="shared" ca="1" si="177"/>
        <v>1.1368683772161603E-12</v>
      </c>
      <c r="AN400" s="7">
        <f t="shared" ca="1" si="178"/>
        <v>21254.070966862218</v>
      </c>
      <c r="AO400" s="7">
        <f t="shared" si="179"/>
        <v>1125</v>
      </c>
    </row>
    <row r="401" spans="1:41" x14ac:dyDescent="0.2">
      <c r="A401">
        <f t="shared" si="180"/>
        <v>50</v>
      </c>
      <c r="B401" s="5">
        <f t="shared" si="181"/>
        <v>88.9</v>
      </c>
      <c r="C401" s="56">
        <f t="shared" si="182"/>
        <v>58319</v>
      </c>
      <c r="D401" s="57">
        <f ca="1">IF(AND(B400&lt;59.5,OR(B401&gt;59.5,B401=59.5)),(D400-E400+J400-K400)*(1+'Retirement Planning'!$J$23/12),(D400-E400)*(1+'Retirement Planning'!$J$23/12))</f>
        <v>1048731.3853118077</v>
      </c>
      <c r="E401" s="58">
        <f t="shared" ca="1" si="171"/>
        <v>2097.7326812000629</v>
      </c>
      <c r="F401" s="57">
        <f ca="1">IF(AND(OR(B401&gt;59.5,B401=59.5),B400&lt;59.5),(F400-G400+L400-M400+N400-O400)*(1+'Retirement Planning'!$J$23/12),(F400-G400)*(1+'Retirement Planning'!$J$23/12))</f>
        <v>950831.48826418305</v>
      </c>
      <c r="G401" s="58">
        <f ca="1">IF(AND($B$10&lt;55,B401&lt;59.5),'Retirement Planning'!$J$25,IF(OR(B401&gt;59.5,B401=59.5),MAX(0,MIN(F401,IF(D401&lt;2500,((Y401+AJ401+AA401))-X401,((Y401+AJ401+AA401)*'Retirement Planning'!$J$44)-X401))),0))</f>
        <v>15347.447483158399</v>
      </c>
      <c r="H401" s="255">
        <f ca="1">IF(MONTH(C401)=1,IF(B401&gt;69.5,F401/(INDEX('Retirement Planning'!D$1:D$264,(160+INT(B401))))/12,0),IF(F401=0,0,H400))</f>
        <v>12667.0140219972</v>
      </c>
      <c r="I401" s="262">
        <f t="shared" ca="1" si="172"/>
        <v>0</v>
      </c>
      <c r="J401" s="254">
        <f ca="1">IF(AND(B400&lt;59.5,OR(B401=59.5,B401&gt;59.5)),0,(J400-K400)*(1+'Retirement Planning'!$J$23/12))</f>
        <v>0</v>
      </c>
      <c r="K401" s="58">
        <f t="shared" ca="1" si="173"/>
        <v>0</v>
      </c>
      <c r="L401" s="57">
        <f>IF(AND(OR(B401&gt;59.5,B401=59.5),B400&lt;59.5),0,(L400-M400)*(1+'Retirement Planning'!$J$23/12))</f>
        <v>0</v>
      </c>
      <c r="M401" s="59">
        <f>IF(AND($B$10&lt;55,B401&lt;59.5),0,IF(B401&lt;59.5,MAX(0,MIN((($Y401+$AJ401+AA401)*'Retirement Planning'!$J$44)-$G401-$X401,L401)),0))</f>
        <v>0</v>
      </c>
      <c r="N401" s="57">
        <f ca="1">(N400-O400)*(1+'Retirement Planning'!$J$23/12)</f>
        <v>0</v>
      </c>
      <c r="O401" s="59">
        <f ca="1">IF(B401&gt;59.5,MAX(0,MIN((AA401+$Y401+$AJ401)*(IF(D401&lt;(MIN(E389:E400)+1),1,'Retirement Planning'!$J$44))-M401-$G401-$X401-(IF(D401&lt;(MIN(E389:E400)+1),D401,0)),N401)),0)</f>
        <v>0</v>
      </c>
      <c r="P401" s="57">
        <f t="shared" si="183"/>
        <v>0</v>
      </c>
      <c r="Q401" s="58">
        <f t="shared" si="184"/>
        <v>0</v>
      </c>
      <c r="R401" s="57">
        <f ca="1">(R400-S400-T400)*(1+'Retirement Planning'!$J$23/12)</f>
        <v>1505945.0677767931</v>
      </c>
      <c r="S401" s="58">
        <f t="shared" ca="1" si="185"/>
        <v>808.33333333333337</v>
      </c>
      <c r="T401" s="273">
        <f t="shared" ca="1" si="174"/>
        <v>-3.1832314562052488E-12</v>
      </c>
      <c r="U401" s="57">
        <f ca="1">(U400-V400)*(1+'Retirement Planning'!$J$23/12)</f>
        <v>854082.92137347639</v>
      </c>
      <c r="V401" s="24">
        <f ca="1">IF(AND($B$10&lt;55,B401&lt;59.5),MIN(U401,MAX(0,(Y401+AA401+AJ401-G401)*'Retirement Planning'!$J$45)),IF(B401&lt;59.5,(MIN(U401,MAX(0,((Y401+AA401+AJ401)-G401-M401)*'Retirement Planning'!$J$45))),MIN(U401,MAX(0,(Y401+AA401+AJ401-G401-M401-K401-X401)*'Retirement Planning'!$J$45))))</f>
        <v>1786.957469170424</v>
      </c>
      <c r="W401" s="7">
        <f t="shared" ca="1" si="175"/>
        <v>4359590.86272626</v>
      </c>
      <c r="X401" s="7">
        <f>(IF(B401&gt;'Retirement Planning'!$J$34,IF('Retirement Planning'!$J$34=70,'Retirement Planning'!$J$37/12,IF('Retirement Planning'!$J$34=67,'Retirement Planning'!$J$36/12,'Retirement Planning'!$J$35/12)),0))*'Retirement Planning'!$J$38</f>
        <v>1213.6000000000001</v>
      </c>
      <c r="Y401" s="7">
        <f ca="1">'Retirement Planning'!$F$35*((1+'Retirement Planning'!$J$24)^(YEAR('Projected Retirement Drawdown'!C401)-YEAR(TODAY())))</f>
        <v>15609.407274918147</v>
      </c>
      <c r="Z401" s="7">
        <f ca="1">G401+M401+O401+0.85*X401+V401*'Retirement Planning'!$J$46+T401</f>
        <v>17361.834091202127</v>
      </c>
      <c r="AA401" s="7">
        <f ca="1">IF(MONTH(C401)=1,(((MIN(MAX(0,((SUM(Z389:Z400)-'Retirement Planning'!$I$53-'Retirement Planning'!$I$54)-'Retirement Planning'!$J$51)*'Retirement Planning'!$I$52))))+(MIN(MAX(0,((SUM(Z389:Z400)-'Retirement Planning'!$I$53-'Retirement Planning'!$I$54)-'Retirement Planning'!$J$50)*'Retirement Planning'!$I$51),('Retirement Planning'!$J$51-'Retirement Planning'!$J$50)*'Retirement Planning'!$I$51))+(MIN(MAX(0,((SUM(Z389:Z400)-'Retirement Planning'!$I$53-'Retirement Planning'!$I$54)-'Retirement Planning'!$J$49)*'Retirement Planning'!$I$50),('Retirement Planning'!$J$50-'Retirement Planning'!$J$49)*'Retirement Planning'!$I$50)+MIN(MAX(0,((SUM(Z389:Z400)-'Retirement Planning'!$I$53-'Retirement Planning'!$I$54)-'Retirement Planning'!$J$48)*'Retirement Planning'!$I$49),('Retirement Planning'!$J$49-'Retirement Planning'!$J$48)*'Retirement Planning'!$I$49)+MIN(((SUM(Z389:Z400)-'Retirement Planning'!$I$53-'Retirement Planning'!$I$54))*'Retirement Planning'!$I$48,('Retirement Planning'!$J$48)*'Retirement Planning'!$I$48))+(IF((SUM(Z389:Z400)-'Retirement Planning'!$I$54-'Retirement Planning'!$I$61)&gt;'Retirement Planning'!$J$59,(SUM(Z389:Z400)-'Retirement Planning'!$I$54-'Retirement Planning'!$I$61-'Retirement Planning'!$J$59)*'Retirement Planning'!$I$60+'Retirement Planning'!$K$59,IF((SUM(Z389:Z400)-'Retirement Planning'!$I$54-'Retirement Planning'!$I$61)&gt;'Retirement Planning'!$J$58,(SUM(Z389:Z400)-'Retirement Planning'!$I$54-'Retirement Planning'!$I$61-'Retirement Planning'!$J$58)*'Retirement Planning'!$I$59+'Retirement Planning'!$K$58,IF((SUM(Z389:Z400)-'Retirement Planning'!$I$54-'Retirement Planning'!$I$61)&gt;'Retirement Planning'!$J$57,(SUM(Z389:Z400)-'Retirement Planning'!$I$54-'Retirement Planning'!$I$61-'Retirement Planning'!$J$57)*'Retirement Planning'!$I$58+'Retirement Planning'!$K$57,IF((SUM(Z389:Z400)-'Retirement Planning'!$I$54-'Retirement Planning'!$I$61)&gt;'Retirement Planning'!$J$56,(SUM(Z389:Z400)-'Retirement Planning'!$I$54-'Retirement Planning'!$I$61-'Retirement Planning'!$J$56)*'Retirement Planning'!$I$57+'Retirement Planning'!$K$56,(SUM(Z389:Z400)-'Retirement Planning'!$I$54-'Retirement Planning'!$I$61)*'Retirement Planning'!$I$56))))))/12,AA400)</f>
        <v>4519.6636919440725</v>
      </c>
      <c r="AB401" s="104">
        <f t="shared" ca="1" si="164"/>
        <v>0.27004671047109935</v>
      </c>
      <c r="AC401" s="7">
        <f>IF(B401&lt;65,'Retirement Planning'!$J$28,0)</f>
        <v>0</v>
      </c>
      <c r="AD401" s="7">
        <f>IF(B401&lt;65,'Retirement Planning'!$J$29/12,0)</f>
        <v>0</v>
      </c>
      <c r="AE401" s="22">
        <f>'Retirement Planning'!$J$31/12</f>
        <v>58.333333333333336</v>
      </c>
      <c r="AF401" s="22">
        <f>'Retirement Planning'!$J$32/12</f>
        <v>66.666666666666671</v>
      </c>
      <c r="AG401" s="7">
        <f>IF($B401&gt;64.9,'Retirement Planning'!$J$39/12,0)</f>
        <v>183.33333333333334</v>
      </c>
      <c r="AH401" s="7">
        <f>IF($B401&gt;64.9,'Retirement Planning'!$J$40/12,0)</f>
        <v>258.33333333333331</v>
      </c>
      <c r="AI401" s="7">
        <f>IF($B401&gt;64.9,'Retirement Planning'!$J$41/12,0)</f>
        <v>558.33333333333337</v>
      </c>
      <c r="AJ401" s="7">
        <f t="shared" ca="1" si="176"/>
        <v>316.66666666666663</v>
      </c>
      <c r="AK401" s="3" t="str">
        <f t="shared" ca="1" si="162"/>
        <v>N/A</v>
      </c>
      <c r="AL401" s="6" t="str">
        <f t="shared" ca="1" si="163"/>
        <v>N/A</v>
      </c>
      <c r="AM401" s="7">
        <f t="shared" ca="1" si="177"/>
        <v>1.1368683772161603E-12</v>
      </c>
      <c r="AN401" s="7">
        <f t="shared" ca="1" si="178"/>
        <v>21254.070966862218</v>
      </c>
      <c r="AO401" s="7">
        <f t="shared" si="179"/>
        <v>1125</v>
      </c>
    </row>
    <row r="402" spans="1:41" x14ac:dyDescent="0.2">
      <c r="A402">
        <f t="shared" si="180"/>
        <v>50</v>
      </c>
      <c r="B402" s="5">
        <f t="shared" si="181"/>
        <v>89</v>
      </c>
      <c r="C402" s="56">
        <f t="shared" si="182"/>
        <v>58349</v>
      </c>
      <c r="D402" s="57">
        <f ca="1">IF(AND(B401&lt;59.5,OR(B402&gt;59.5,B402=59.5)),(D401-E401+J401-K401)*(1+'Retirement Planning'!$J$23/12),(D401-E401)*(1+'Retirement Planning'!$J$23/12))</f>
        <v>1054047.3076700745</v>
      </c>
      <c r="E402" s="58">
        <f t="shared" ca="1" si="171"/>
        <v>2097.7326812000629</v>
      </c>
      <c r="F402" s="57">
        <f ca="1">IF(AND(OR(B402&gt;59.5,B402=59.5),B401&lt;59.5),(F401-G401+L401-M401+N401-O401)*(1+'Retirement Planning'!$J$23/12),(F401-G401)*(1+'Retirement Planning'!$J$23/12))</f>
        <v>942110.38606989023</v>
      </c>
      <c r="G402" s="58">
        <f ca="1">IF(AND($B$10&lt;55,B402&lt;59.5),'Retirement Planning'!$J$25,IF(OR(B402&gt;59.5,B402=59.5),MAX(0,MIN(F402,IF(D402&lt;2500,((Y402+AJ402+AA402))-X402,((Y402+AJ402+AA402)*'Retirement Planning'!$J$44)-X402))),0))</f>
        <v>15347.447483158399</v>
      </c>
      <c r="H402" s="255">
        <f ca="1">IF(MONTH(C402)=1,IF(B402&gt;69.5,F402/(INDEX('Retirement Planning'!D$1:D$264,(160+INT(B402))))/12,0),IF(F402=0,0,H401))</f>
        <v>12667.0140219972</v>
      </c>
      <c r="I402" s="262">
        <f t="shared" ca="1" si="172"/>
        <v>0</v>
      </c>
      <c r="J402" s="254">
        <f ca="1">IF(AND(B401&lt;59.5,OR(B402=59.5,B402&gt;59.5)),0,(J401-K401)*(1+'Retirement Planning'!$J$23/12))</f>
        <v>0</v>
      </c>
      <c r="K402" s="58">
        <f t="shared" ca="1" si="173"/>
        <v>0</v>
      </c>
      <c r="L402" s="57">
        <f>IF(AND(OR(B402&gt;59.5,B402=59.5),B401&lt;59.5),0,(L401-M401)*(1+'Retirement Planning'!$J$23/12))</f>
        <v>0</v>
      </c>
      <c r="M402" s="59">
        <f>IF(AND($B$10&lt;55,B402&lt;59.5),0,IF(B402&lt;59.5,MAX(0,MIN((($Y402+$AJ402+AA402)*'Retirement Planning'!$J$44)-$G402-$X402,L402)),0))</f>
        <v>0</v>
      </c>
      <c r="N402" s="57">
        <f ca="1">(N401-O401)*(1+'Retirement Planning'!$J$23/12)</f>
        <v>0</v>
      </c>
      <c r="O402" s="59">
        <f ca="1">IF(B402&gt;59.5,MAX(0,MIN((AA402+$Y402+$AJ402)*(IF(D402&lt;(MIN(E390:E401)+1),1,'Retirement Planning'!$J$44))-M402-$G402-$X402-(IF(D402&lt;(MIN(E390:E401)+1),D402,0)),N402)),0)</f>
        <v>0</v>
      </c>
      <c r="P402" s="57">
        <f t="shared" si="183"/>
        <v>0</v>
      </c>
      <c r="Q402" s="58">
        <f t="shared" si="184"/>
        <v>0</v>
      </c>
      <c r="R402" s="57">
        <f ca="1">(R401-S401-T401)*(1+'Retirement Planning'!$J$23/12)</f>
        <v>1515798.1196457678</v>
      </c>
      <c r="S402" s="58">
        <f t="shared" ca="1" si="185"/>
        <v>808.33333333333337</v>
      </c>
      <c r="T402" s="273">
        <f t="shared" ca="1" si="174"/>
        <v>-3.1832314562052488E-12</v>
      </c>
      <c r="U402" s="57">
        <f ca="1">(U401-V401)*(1+'Retirement Planning'!$J$23/12)</f>
        <v>858333.06031529477</v>
      </c>
      <c r="V402" s="24">
        <f ca="1">IF(AND($B$10&lt;55,B402&lt;59.5),MIN(U402,MAX(0,(Y402+AA402+AJ402-G402)*'Retirement Planning'!$J$45)),IF(B402&lt;59.5,(MIN(U402,MAX(0,((Y402+AA402+AJ402)-G402-M402)*'Retirement Planning'!$J$45))),MIN(U402,MAX(0,(Y402+AA402+AJ402-G402-M402-K402-X402)*'Retirement Planning'!$J$45))))</f>
        <v>1786.957469170424</v>
      </c>
      <c r="W402" s="7">
        <f t="shared" ca="1" si="175"/>
        <v>4370288.8737010276</v>
      </c>
      <c r="X402" s="7">
        <f>(IF(B402&gt;'Retirement Planning'!$J$34,IF('Retirement Planning'!$J$34=70,'Retirement Planning'!$J$37/12,IF('Retirement Planning'!$J$34=67,'Retirement Planning'!$J$36/12,'Retirement Planning'!$J$35/12)),0))*'Retirement Planning'!$J$38</f>
        <v>1213.6000000000001</v>
      </c>
      <c r="Y402" s="7">
        <f ca="1">'Retirement Planning'!$F$35*((1+'Retirement Planning'!$J$24)^(YEAR('Projected Retirement Drawdown'!C402)-YEAR(TODAY())))</f>
        <v>15609.407274918147</v>
      </c>
      <c r="Z402" s="7">
        <f ca="1">G402+M402+O402+0.85*X402+V402*'Retirement Planning'!$J$46+T402</f>
        <v>17361.834091202127</v>
      </c>
      <c r="AA402" s="7">
        <f ca="1">IF(MONTH(C402)=1,(((MIN(MAX(0,((SUM(Z390:Z401)-'Retirement Planning'!$I$53-'Retirement Planning'!$I$54)-'Retirement Planning'!$J$51)*'Retirement Planning'!$I$52))))+(MIN(MAX(0,((SUM(Z390:Z401)-'Retirement Planning'!$I$53-'Retirement Planning'!$I$54)-'Retirement Planning'!$J$50)*'Retirement Planning'!$I$51),('Retirement Planning'!$J$51-'Retirement Planning'!$J$50)*'Retirement Planning'!$I$51))+(MIN(MAX(0,((SUM(Z390:Z401)-'Retirement Planning'!$I$53-'Retirement Planning'!$I$54)-'Retirement Planning'!$J$49)*'Retirement Planning'!$I$50),('Retirement Planning'!$J$50-'Retirement Planning'!$J$49)*'Retirement Planning'!$I$50)+MIN(MAX(0,((SUM(Z390:Z401)-'Retirement Planning'!$I$53-'Retirement Planning'!$I$54)-'Retirement Planning'!$J$48)*'Retirement Planning'!$I$49),('Retirement Planning'!$J$49-'Retirement Planning'!$J$48)*'Retirement Planning'!$I$49)+MIN(((SUM(Z390:Z401)-'Retirement Planning'!$I$53-'Retirement Planning'!$I$54))*'Retirement Planning'!$I$48,('Retirement Planning'!$J$48)*'Retirement Planning'!$I$48))+(IF((SUM(Z390:Z401)-'Retirement Planning'!$I$54-'Retirement Planning'!$I$61)&gt;'Retirement Planning'!$J$59,(SUM(Z390:Z401)-'Retirement Planning'!$I$54-'Retirement Planning'!$I$61-'Retirement Planning'!$J$59)*'Retirement Planning'!$I$60+'Retirement Planning'!$K$59,IF((SUM(Z390:Z401)-'Retirement Planning'!$I$54-'Retirement Planning'!$I$61)&gt;'Retirement Planning'!$J$58,(SUM(Z390:Z401)-'Retirement Planning'!$I$54-'Retirement Planning'!$I$61-'Retirement Planning'!$J$58)*'Retirement Planning'!$I$59+'Retirement Planning'!$K$58,IF((SUM(Z390:Z401)-'Retirement Planning'!$I$54-'Retirement Planning'!$I$61)&gt;'Retirement Planning'!$J$57,(SUM(Z390:Z401)-'Retirement Planning'!$I$54-'Retirement Planning'!$I$61-'Retirement Planning'!$J$57)*'Retirement Planning'!$I$58+'Retirement Planning'!$K$57,IF((SUM(Z390:Z401)-'Retirement Planning'!$I$54-'Retirement Planning'!$I$61)&gt;'Retirement Planning'!$J$56,(SUM(Z390:Z401)-'Retirement Planning'!$I$54-'Retirement Planning'!$I$61-'Retirement Planning'!$J$56)*'Retirement Planning'!$I$57+'Retirement Planning'!$K$56,(SUM(Z390:Z401)-'Retirement Planning'!$I$54-'Retirement Planning'!$I$61)*'Retirement Planning'!$I$56))))))/12,AA401)</f>
        <v>4519.6636919440725</v>
      </c>
      <c r="AB402" s="104">
        <f t="shared" ca="1" si="164"/>
        <v>0.27004671047109935</v>
      </c>
      <c r="AC402" s="7">
        <f>IF(B402&lt;65,'Retirement Planning'!$J$28,0)</f>
        <v>0</v>
      </c>
      <c r="AD402" s="7">
        <f>IF(B402&lt;65,'Retirement Planning'!$J$29/12,0)</f>
        <v>0</v>
      </c>
      <c r="AE402" s="22">
        <f>'Retirement Planning'!$J$31/12</f>
        <v>58.333333333333336</v>
      </c>
      <c r="AF402" s="22">
        <f>'Retirement Planning'!$J$32/12</f>
        <v>66.666666666666671</v>
      </c>
      <c r="AG402" s="7">
        <f>IF($B402&gt;64.9,'Retirement Planning'!$J$39/12,0)</f>
        <v>183.33333333333334</v>
      </c>
      <c r="AH402" s="7">
        <f>IF($B402&gt;64.9,'Retirement Planning'!$J$40/12,0)</f>
        <v>258.33333333333331</v>
      </c>
      <c r="AI402" s="7">
        <f>IF($B402&gt;64.9,'Retirement Planning'!$J$41/12,0)</f>
        <v>558.33333333333337</v>
      </c>
      <c r="AJ402" s="7">
        <f t="shared" ca="1" si="176"/>
        <v>316.66666666666663</v>
      </c>
      <c r="AK402" s="3" t="str">
        <f t="shared" ca="1" si="162"/>
        <v>N/A</v>
      </c>
      <c r="AL402" s="6" t="str">
        <f t="shared" ca="1" si="163"/>
        <v>N/A</v>
      </c>
      <c r="AM402" s="7">
        <f t="shared" ca="1" si="177"/>
        <v>1.1368683772161603E-12</v>
      </c>
      <c r="AN402" s="7">
        <f t="shared" ca="1" si="178"/>
        <v>21254.070966862218</v>
      </c>
      <c r="AO402" s="7">
        <f t="shared" si="179"/>
        <v>1125</v>
      </c>
    </row>
    <row r="403" spans="1:41" x14ac:dyDescent="0.2">
      <c r="A403">
        <f t="shared" si="180"/>
        <v>50</v>
      </c>
      <c r="B403" s="5">
        <f t="shared" si="181"/>
        <v>89</v>
      </c>
      <c r="C403" s="56">
        <f t="shared" si="182"/>
        <v>58380</v>
      </c>
      <c r="D403" s="57">
        <f ca="1">IF(AND(B402&lt;59.5,OR(B403&gt;59.5,B403=59.5)),(D402-E402+J402-K402)*(1+'Retirement Planning'!$J$23/12),(D402-E402)*(1+'Retirement Planning'!$J$23/12))</f>
        <v>1059400.8844783788</v>
      </c>
      <c r="E403" s="58">
        <f t="shared" ca="1" si="171"/>
        <v>2097.7326812000629</v>
      </c>
      <c r="F403" s="57">
        <f ca="1">IF(AND(OR(B403&gt;59.5,B403=59.5),B402&lt;59.5),(F402-G402+L402-M402+N402-O402)*(1+'Retirement Planning'!$J$23/12),(F402-G402)*(1+'Retirement Planning'!$J$23/12))</f>
        <v>933327.50940172118</v>
      </c>
      <c r="G403" s="58">
        <f ca="1">IF(AND($B$10&lt;55,B403&lt;59.5),'Retirement Planning'!$J$25,IF(OR(B403&gt;59.5,B403=59.5),MAX(0,MIN(F403,IF(D403&lt;2500,((Y403+AJ403+AA403))-X403,((Y403+AJ403+AA403)*'Retirement Planning'!$J$44)-X403))),0))</f>
        <v>15347.447483158399</v>
      </c>
      <c r="H403" s="255">
        <f ca="1">IF(MONTH(C403)=1,IF(B403&gt;69.5,F403/(INDEX('Retirement Planning'!D$1:D$264,(160+INT(B403))))/12,0),IF(F403=0,0,H402))</f>
        <v>12667.0140219972</v>
      </c>
      <c r="I403" s="262">
        <f t="shared" ca="1" si="172"/>
        <v>0</v>
      </c>
      <c r="J403" s="254">
        <f ca="1">IF(AND(B402&lt;59.5,OR(B403=59.5,B403&gt;59.5)),0,(J402-K402)*(1+'Retirement Planning'!$J$23/12))</f>
        <v>0</v>
      </c>
      <c r="K403" s="58">
        <f t="shared" ca="1" si="173"/>
        <v>0</v>
      </c>
      <c r="L403" s="57">
        <f>IF(AND(OR(B403&gt;59.5,B403=59.5),B402&lt;59.5),0,(L402-M402)*(1+'Retirement Planning'!$J$23/12))</f>
        <v>0</v>
      </c>
      <c r="M403" s="59">
        <f>IF(AND($B$10&lt;55,B403&lt;59.5),0,IF(B403&lt;59.5,MAX(0,MIN((($Y403+$AJ403+AA403)*'Retirement Planning'!$J$44)-$G403-$X403,L403)),0))</f>
        <v>0</v>
      </c>
      <c r="N403" s="57">
        <f ca="1">(N402-O402)*(1+'Retirement Planning'!$J$23/12)</f>
        <v>0</v>
      </c>
      <c r="O403" s="59">
        <f ca="1">IF(B403&gt;59.5,MAX(0,MIN((AA403+$Y403+$AJ403)*(IF(D403&lt;(MIN(E391:E402)+1),1,'Retirement Planning'!$J$44))-M403-$G403-$X403-(IF(D403&lt;(MIN(E391:E402)+1),D403,0)),N403)),0)</f>
        <v>0</v>
      </c>
      <c r="P403" s="57">
        <f t="shared" si="183"/>
        <v>0</v>
      </c>
      <c r="Q403" s="58">
        <f t="shared" si="184"/>
        <v>0</v>
      </c>
      <c r="R403" s="57">
        <f ca="1">(R402-S402-T402)*(1+'Retirement Planning'!$J$23/12)</f>
        <v>1525720.9639654809</v>
      </c>
      <c r="S403" s="58">
        <f t="shared" ca="1" si="185"/>
        <v>808.33333333333337</v>
      </c>
      <c r="T403" s="273">
        <f t="shared" ca="1" si="174"/>
        <v>-3.1832314562052488E-12</v>
      </c>
      <c r="U403" s="57">
        <f ca="1">(U402-V402)*(1+'Retirement Planning'!$J$23/12)</f>
        <v>862613.30440795107</v>
      </c>
      <c r="V403" s="24">
        <f ca="1">IF(AND($B$10&lt;55,B403&lt;59.5),MIN(U403,MAX(0,(Y403+AA403+AJ403-G403)*'Retirement Planning'!$J$45)),IF(B403&lt;59.5,(MIN(U403,MAX(0,((Y403+AA403+AJ403)-G403-M403)*'Retirement Planning'!$J$45))),MIN(U403,MAX(0,(Y403+AA403+AJ403-G403-M403-K403-X403)*'Retirement Planning'!$J$45))))</f>
        <v>1786.957469170424</v>
      </c>
      <c r="W403" s="7">
        <f t="shared" ca="1" si="175"/>
        <v>4381062.6622535326</v>
      </c>
      <c r="X403" s="7">
        <f>(IF(B403&gt;'Retirement Planning'!$J$34,IF('Retirement Planning'!$J$34=70,'Retirement Planning'!$J$37/12,IF('Retirement Planning'!$J$34=67,'Retirement Planning'!$J$36/12,'Retirement Planning'!$J$35/12)),0))*'Retirement Planning'!$J$38</f>
        <v>1213.6000000000001</v>
      </c>
      <c r="Y403" s="7">
        <f ca="1">'Retirement Planning'!$F$35*((1+'Retirement Planning'!$J$24)^(YEAR('Projected Retirement Drawdown'!C403)-YEAR(TODAY())))</f>
        <v>15609.407274918147</v>
      </c>
      <c r="Z403" s="7">
        <f ca="1">G403+M403+O403+0.85*X403+V403*'Retirement Planning'!$J$46+T403</f>
        <v>17361.834091202127</v>
      </c>
      <c r="AA403" s="7">
        <f ca="1">IF(MONTH(C403)=1,(((MIN(MAX(0,((SUM(Z391:Z402)-'Retirement Planning'!$I$53-'Retirement Planning'!$I$54)-'Retirement Planning'!$J$51)*'Retirement Planning'!$I$52))))+(MIN(MAX(0,((SUM(Z391:Z402)-'Retirement Planning'!$I$53-'Retirement Planning'!$I$54)-'Retirement Planning'!$J$50)*'Retirement Planning'!$I$51),('Retirement Planning'!$J$51-'Retirement Planning'!$J$50)*'Retirement Planning'!$I$51))+(MIN(MAX(0,((SUM(Z391:Z402)-'Retirement Planning'!$I$53-'Retirement Planning'!$I$54)-'Retirement Planning'!$J$49)*'Retirement Planning'!$I$50),('Retirement Planning'!$J$50-'Retirement Planning'!$J$49)*'Retirement Planning'!$I$50)+MIN(MAX(0,((SUM(Z391:Z402)-'Retirement Planning'!$I$53-'Retirement Planning'!$I$54)-'Retirement Planning'!$J$48)*'Retirement Planning'!$I$49),('Retirement Planning'!$J$49-'Retirement Planning'!$J$48)*'Retirement Planning'!$I$49)+MIN(((SUM(Z391:Z402)-'Retirement Planning'!$I$53-'Retirement Planning'!$I$54))*'Retirement Planning'!$I$48,('Retirement Planning'!$J$48)*'Retirement Planning'!$I$48))+(IF((SUM(Z391:Z402)-'Retirement Planning'!$I$54-'Retirement Planning'!$I$61)&gt;'Retirement Planning'!$J$59,(SUM(Z391:Z402)-'Retirement Planning'!$I$54-'Retirement Planning'!$I$61-'Retirement Planning'!$J$59)*'Retirement Planning'!$I$60+'Retirement Planning'!$K$59,IF((SUM(Z391:Z402)-'Retirement Planning'!$I$54-'Retirement Planning'!$I$61)&gt;'Retirement Planning'!$J$58,(SUM(Z391:Z402)-'Retirement Planning'!$I$54-'Retirement Planning'!$I$61-'Retirement Planning'!$J$58)*'Retirement Planning'!$I$59+'Retirement Planning'!$K$58,IF((SUM(Z391:Z402)-'Retirement Planning'!$I$54-'Retirement Planning'!$I$61)&gt;'Retirement Planning'!$J$57,(SUM(Z391:Z402)-'Retirement Planning'!$I$54-'Retirement Planning'!$I$61-'Retirement Planning'!$J$57)*'Retirement Planning'!$I$58+'Retirement Planning'!$K$57,IF((SUM(Z391:Z402)-'Retirement Planning'!$I$54-'Retirement Planning'!$I$61)&gt;'Retirement Planning'!$J$56,(SUM(Z391:Z402)-'Retirement Planning'!$I$54-'Retirement Planning'!$I$61-'Retirement Planning'!$J$56)*'Retirement Planning'!$I$57+'Retirement Planning'!$K$56,(SUM(Z391:Z402)-'Retirement Planning'!$I$54-'Retirement Planning'!$I$61)*'Retirement Planning'!$I$56))))))/12,AA402)</f>
        <v>4519.6636919440725</v>
      </c>
      <c r="AB403" s="104">
        <f t="shared" ca="1" si="164"/>
        <v>0.27004671047109935</v>
      </c>
      <c r="AC403" s="7">
        <f>IF(B403&lt;65,'Retirement Planning'!$J$28,0)</f>
        <v>0</v>
      </c>
      <c r="AD403" s="7">
        <f>IF(B403&lt;65,'Retirement Planning'!$J$29/12,0)</f>
        <v>0</v>
      </c>
      <c r="AE403" s="22">
        <f>'Retirement Planning'!$J$31/12</f>
        <v>58.333333333333336</v>
      </c>
      <c r="AF403" s="22">
        <f>'Retirement Planning'!$J$32/12</f>
        <v>66.666666666666671</v>
      </c>
      <c r="AG403" s="7">
        <f>IF($B403&gt;64.9,'Retirement Planning'!$J$39/12,0)</f>
        <v>183.33333333333334</v>
      </c>
      <c r="AH403" s="7">
        <f>IF($B403&gt;64.9,'Retirement Planning'!$J$40/12,0)</f>
        <v>258.33333333333331</v>
      </c>
      <c r="AI403" s="7">
        <f>IF($B403&gt;64.9,'Retirement Planning'!$J$41/12,0)</f>
        <v>558.33333333333337</v>
      </c>
      <c r="AJ403" s="7">
        <f t="shared" ca="1" si="176"/>
        <v>316.66666666666663</v>
      </c>
      <c r="AK403" s="3" t="str">
        <f t="shared" ca="1" si="162"/>
        <v>N/A</v>
      </c>
      <c r="AL403" s="6" t="str">
        <f t="shared" ca="1" si="163"/>
        <v>N/A</v>
      </c>
      <c r="AM403" s="7">
        <f t="shared" ca="1" si="177"/>
        <v>1.1368683772161603E-12</v>
      </c>
      <c r="AN403" s="7">
        <f t="shared" ca="1" si="178"/>
        <v>21254.070966862218</v>
      </c>
      <c r="AO403" s="7">
        <f t="shared" si="179"/>
        <v>1125</v>
      </c>
    </row>
    <row r="404" spans="1:41" x14ac:dyDescent="0.2">
      <c r="A404">
        <f t="shared" si="180"/>
        <v>50</v>
      </c>
      <c r="B404" s="5">
        <f t="shared" si="181"/>
        <v>89.1</v>
      </c>
      <c r="C404" s="56">
        <f t="shared" si="182"/>
        <v>58410</v>
      </c>
      <c r="D404" s="57">
        <f ca="1">IF(AND(B403&lt;59.5,OR(B404&gt;59.5,B404=59.5)),(D403-E403+J403-K403)*(1+'Retirement Planning'!$J$23/12),(D403-E403)*(1+'Retirement Planning'!$J$23/12))</f>
        <v>1064792.382455742</v>
      </c>
      <c r="E404" s="58">
        <f t="shared" ca="1" si="171"/>
        <v>2097.7326812000629</v>
      </c>
      <c r="F404" s="57">
        <f ca="1">IF(AND(OR(B404&gt;59.5,B404=59.5),B403&lt;59.5),(F403-G403+L403-M403+N403-O403)*(1+'Retirement Planning'!$J$23/12),(F403-G403)*(1+'Retirement Planning'!$J$23/12))</f>
        <v>924482.42069048586</v>
      </c>
      <c r="G404" s="58">
        <f ca="1">IF(AND($B$10&lt;55,B404&lt;59.5),'Retirement Planning'!$J$25,IF(OR(B404&gt;59.5,B404=59.5),MAX(0,MIN(F404,IF(D404&lt;2500,((Y404+AJ404+AA404))-X404,((Y404+AJ404+AA404)*'Retirement Planning'!$J$44)-X404))),0))</f>
        <v>15347.447483158399</v>
      </c>
      <c r="H404" s="255">
        <f ca="1">IF(MONTH(C404)=1,IF(B404&gt;69.5,F404/(INDEX('Retirement Planning'!D$1:D$264,(160+INT(B404))))/12,0),IF(F404=0,0,H403))</f>
        <v>12667.0140219972</v>
      </c>
      <c r="I404" s="262">
        <f t="shared" ca="1" si="172"/>
        <v>0</v>
      </c>
      <c r="J404" s="254">
        <f ca="1">IF(AND(B403&lt;59.5,OR(B404=59.5,B404&gt;59.5)),0,(J403-K403)*(1+'Retirement Planning'!$J$23/12))</f>
        <v>0</v>
      </c>
      <c r="K404" s="58">
        <f t="shared" ca="1" si="173"/>
        <v>0</v>
      </c>
      <c r="L404" s="57">
        <f>IF(AND(OR(B404&gt;59.5,B404=59.5),B403&lt;59.5),0,(L403-M403)*(1+'Retirement Planning'!$J$23/12))</f>
        <v>0</v>
      </c>
      <c r="M404" s="59">
        <f>IF(AND($B$10&lt;55,B404&lt;59.5),0,IF(B404&lt;59.5,MAX(0,MIN((($Y404+$AJ404+AA404)*'Retirement Planning'!$J$44)-$G404-$X404,L404)),0))</f>
        <v>0</v>
      </c>
      <c r="N404" s="57">
        <f ca="1">(N403-O403)*(1+'Retirement Planning'!$J$23/12)</f>
        <v>0</v>
      </c>
      <c r="O404" s="59">
        <f ca="1">IF(B404&gt;59.5,MAX(0,MIN((AA404+$Y404+$AJ404)*(IF(D404&lt;(MIN(E392:E403)+1),1,'Retirement Planning'!$J$44))-M404-$G404-$X404-(IF(D404&lt;(MIN(E392:E403)+1),D404,0)),N404)),0)</f>
        <v>0</v>
      </c>
      <c r="P404" s="57">
        <f t="shared" si="183"/>
        <v>0</v>
      </c>
      <c r="Q404" s="58">
        <f t="shared" si="184"/>
        <v>0</v>
      </c>
      <c r="R404" s="57">
        <f ca="1">(R403-S403-T403)*(1+'Retirement Planning'!$J$23/12)</f>
        <v>1535714.0950991253</v>
      </c>
      <c r="S404" s="58">
        <f t="shared" ca="1" si="185"/>
        <v>808.33333333333337</v>
      </c>
      <c r="T404" s="273">
        <f t="shared" ca="1" si="174"/>
        <v>-3.1832314562052488E-12</v>
      </c>
      <c r="U404" s="57">
        <f ca="1">(U403-V403)*(1+'Retirement Planning'!$J$23/12)</f>
        <v>866923.86689626367</v>
      </c>
      <c r="V404" s="24">
        <f ca="1">IF(AND($B$10&lt;55,B404&lt;59.5),MIN(U404,MAX(0,(Y404+AA404+AJ404-G404)*'Retirement Planning'!$J$45)),IF(B404&lt;59.5,(MIN(U404,MAX(0,((Y404+AA404+AJ404)-G404-M404)*'Retirement Planning'!$J$45))),MIN(U404,MAX(0,(Y404+AA404+AJ404-G404-M404-K404-X404)*'Retirement Planning'!$J$45))))</f>
        <v>1786.957469170424</v>
      </c>
      <c r="W404" s="7">
        <f t="shared" ca="1" si="175"/>
        <v>4391912.7651416166</v>
      </c>
      <c r="X404" s="7">
        <f>(IF(B404&gt;'Retirement Planning'!$J$34,IF('Retirement Planning'!$J$34=70,'Retirement Planning'!$J$37/12,IF('Retirement Planning'!$J$34=67,'Retirement Planning'!$J$36/12,'Retirement Planning'!$J$35/12)),0))*'Retirement Planning'!$J$38</f>
        <v>1213.6000000000001</v>
      </c>
      <c r="Y404" s="7">
        <f ca="1">'Retirement Planning'!$F$35*((1+'Retirement Planning'!$J$24)^(YEAR('Projected Retirement Drawdown'!C404)-YEAR(TODAY())))</f>
        <v>15609.407274918147</v>
      </c>
      <c r="Z404" s="7">
        <f ca="1">G404+M404+O404+0.85*X404+V404*'Retirement Planning'!$J$46+T404</f>
        <v>17361.834091202127</v>
      </c>
      <c r="AA404" s="7">
        <f ca="1">IF(MONTH(C404)=1,(((MIN(MAX(0,((SUM(Z392:Z403)-'Retirement Planning'!$I$53-'Retirement Planning'!$I$54)-'Retirement Planning'!$J$51)*'Retirement Planning'!$I$52))))+(MIN(MAX(0,((SUM(Z392:Z403)-'Retirement Planning'!$I$53-'Retirement Planning'!$I$54)-'Retirement Planning'!$J$50)*'Retirement Planning'!$I$51),('Retirement Planning'!$J$51-'Retirement Planning'!$J$50)*'Retirement Planning'!$I$51))+(MIN(MAX(0,((SUM(Z392:Z403)-'Retirement Planning'!$I$53-'Retirement Planning'!$I$54)-'Retirement Planning'!$J$49)*'Retirement Planning'!$I$50),('Retirement Planning'!$J$50-'Retirement Planning'!$J$49)*'Retirement Planning'!$I$50)+MIN(MAX(0,((SUM(Z392:Z403)-'Retirement Planning'!$I$53-'Retirement Planning'!$I$54)-'Retirement Planning'!$J$48)*'Retirement Planning'!$I$49),('Retirement Planning'!$J$49-'Retirement Planning'!$J$48)*'Retirement Planning'!$I$49)+MIN(((SUM(Z392:Z403)-'Retirement Planning'!$I$53-'Retirement Planning'!$I$54))*'Retirement Planning'!$I$48,('Retirement Planning'!$J$48)*'Retirement Planning'!$I$48))+(IF((SUM(Z392:Z403)-'Retirement Planning'!$I$54-'Retirement Planning'!$I$61)&gt;'Retirement Planning'!$J$59,(SUM(Z392:Z403)-'Retirement Planning'!$I$54-'Retirement Planning'!$I$61-'Retirement Planning'!$J$59)*'Retirement Planning'!$I$60+'Retirement Planning'!$K$59,IF((SUM(Z392:Z403)-'Retirement Planning'!$I$54-'Retirement Planning'!$I$61)&gt;'Retirement Planning'!$J$58,(SUM(Z392:Z403)-'Retirement Planning'!$I$54-'Retirement Planning'!$I$61-'Retirement Planning'!$J$58)*'Retirement Planning'!$I$59+'Retirement Planning'!$K$58,IF((SUM(Z392:Z403)-'Retirement Planning'!$I$54-'Retirement Planning'!$I$61)&gt;'Retirement Planning'!$J$57,(SUM(Z392:Z403)-'Retirement Planning'!$I$54-'Retirement Planning'!$I$61-'Retirement Planning'!$J$57)*'Retirement Planning'!$I$58+'Retirement Planning'!$K$57,IF((SUM(Z392:Z403)-'Retirement Planning'!$I$54-'Retirement Planning'!$I$61)&gt;'Retirement Planning'!$J$56,(SUM(Z392:Z403)-'Retirement Planning'!$I$54-'Retirement Planning'!$I$61-'Retirement Planning'!$J$56)*'Retirement Planning'!$I$57+'Retirement Planning'!$K$56,(SUM(Z392:Z403)-'Retirement Planning'!$I$54-'Retirement Planning'!$I$61)*'Retirement Planning'!$I$56))))))/12,AA403)</f>
        <v>4519.6636919440725</v>
      </c>
      <c r="AB404" s="104">
        <f t="shared" ca="1" si="164"/>
        <v>0.27004671047109935</v>
      </c>
      <c r="AC404" s="7">
        <f>IF(B404&lt;65,'Retirement Planning'!$J$28,0)</f>
        <v>0</v>
      </c>
      <c r="AD404" s="7">
        <f>IF(B404&lt;65,'Retirement Planning'!$J$29/12,0)</f>
        <v>0</v>
      </c>
      <c r="AE404" s="22">
        <f>'Retirement Planning'!$J$31/12</f>
        <v>58.333333333333336</v>
      </c>
      <c r="AF404" s="22">
        <f>'Retirement Planning'!$J$32/12</f>
        <v>66.666666666666671</v>
      </c>
      <c r="AG404" s="7">
        <f>IF($B404&gt;64.9,'Retirement Planning'!$J$39/12,0)</f>
        <v>183.33333333333334</v>
      </c>
      <c r="AH404" s="7">
        <f>IF($B404&gt;64.9,'Retirement Planning'!$J$40/12,0)</f>
        <v>258.33333333333331</v>
      </c>
      <c r="AI404" s="7">
        <f>IF($B404&gt;64.9,'Retirement Planning'!$J$41/12,0)</f>
        <v>558.33333333333337</v>
      </c>
      <c r="AJ404" s="7">
        <f t="shared" ca="1" si="176"/>
        <v>316.66666666666663</v>
      </c>
      <c r="AK404" s="3" t="str">
        <f t="shared" ca="1" si="162"/>
        <v>N/A</v>
      </c>
      <c r="AL404" s="6" t="str">
        <f t="shared" ca="1" si="163"/>
        <v>N/A</v>
      </c>
      <c r="AM404" s="7">
        <f t="shared" ca="1" si="177"/>
        <v>1.1368683772161603E-12</v>
      </c>
      <c r="AN404" s="7">
        <f t="shared" ca="1" si="178"/>
        <v>21254.070966862218</v>
      </c>
      <c r="AO404" s="7">
        <f t="shared" si="179"/>
        <v>1125</v>
      </c>
    </row>
    <row r="405" spans="1:41" x14ac:dyDescent="0.2">
      <c r="A405">
        <f t="shared" si="180"/>
        <v>50</v>
      </c>
      <c r="B405" s="5">
        <f t="shared" si="181"/>
        <v>89.2</v>
      </c>
      <c r="C405" s="56">
        <f t="shared" si="182"/>
        <v>58441</v>
      </c>
      <c r="D405" s="57">
        <f ca="1">IF(AND(B404&lt;59.5,OR(B405&gt;59.5,B405=59.5)),(D404-E404+J404-K404)*(1+'Retirement Planning'!$J$23/12),(D404-E404)*(1+'Retirement Planning'!$J$23/12))</f>
        <v>1070222.0702104447</v>
      </c>
      <c r="E405" s="58">
        <f t="shared" ca="1" si="171"/>
        <v>2177.8676157609389</v>
      </c>
      <c r="F405" s="57">
        <f ca="1">IF(AND(OR(B405&gt;59.5,B405=59.5),B404&lt;59.5),(F404-G404+L404-M404+N404-O404)*(1+'Retirement Planning'!$J$23/12),(F404-G404)*(1+'Retirement Planning'!$J$23/12))</f>
        <v>915574.67926754593</v>
      </c>
      <c r="G405" s="58">
        <f ca="1">IF(AND($B$10&lt;55,B405&lt;59.5),'Retirement Planning'!$J$25,IF(OR(B405&gt;59.5,B405=59.5),MAX(0,MIN(F405,IF(D405&lt;2500,((Y405+AJ405+AA405))-X405,((Y405+AJ405+AA405)*'Retirement Planning'!$J$44)-X405))),0))</f>
        <v>15980.091703375825</v>
      </c>
      <c r="H405" s="255">
        <f ca="1">IF(MONTH(C405)=1,IF(B405&gt;69.5,F405/(INDEX('Retirement Planning'!D$1:D$264,(160+INT(B405))))/12,0),IF(F405=0,0,H404))</f>
        <v>12110.776180787645</v>
      </c>
      <c r="I405" s="262">
        <f t="shared" ca="1" si="172"/>
        <v>0</v>
      </c>
      <c r="J405" s="254">
        <f ca="1">IF(AND(B404&lt;59.5,OR(B405=59.5,B405&gt;59.5)),0,(J404-K404)*(1+'Retirement Planning'!$J$23/12))</f>
        <v>0</v>
      </c>
      <c r="K405" s="58">
        <f t="shared" ca="1" si="173"/>
        <v>0</v>
      </c>
      <c r="L405" s="57">
        <f>IF(AND(OR(B405&gt;59.5,B405=59.5),B404&lt;59.5),0,(L404-M404)*(1+'Retirement Planning'!$J$23/12))</f>
        <v>0</v>
      </c>
      <c r="M405" s="59">
        <f>IF(AND($B$10&lt;55,B405&lt;59.5),0,IF(B405&lt;59.5,MAX(0,MIN((($Y405+$AJ405+AA405)*'Retirement Planning'!$J$44)-$G405-$X405,L405)),0))</f>
        <v>0</v>
      </c>
      <c r="N405" s="57">
        <f ca="1">(N404-O404)*(1+'Retirement Planning'!$J$23/12)</f>
        <v>0</v>
      </c>
      <c r="O405" s="59">
        <f ca="1">IF(B405&gt;59.5,MAX(0,MIN((AA405+$Y405+$AJ405)*(IF(D405&lt;(MIN(E393:E404)+1),1,'Retirement Planning'!$J$44))-M405-$G405-$X405-(IF(D405&lt;(MIN(E393:E404)+1),D405,0)),N405)),0)</f>
        <v>0</v>
      </c>
      <c r="P405" s="57">
        <f t="shared" si="183"/>
        <v>0</v>
      </c>
      <c r="Q405" s="58">
        <f t="shared" si="184"/>
        <v>0</v>
      </c>
      <c r="R405" s="57">
        <f ca="1">(R404-S404-T404)*(1+'Retirement Planning'!$J$23/12)</f>
        <v>1545778.010911633</v>
      </c>
      <c r="S405" s="58">
        <f t="shared" ca="1" si="185"/>
        <v>808.33333333333337</v>
      </c>
      <c r="T405" s="273">
        <f t="shared" ca="1" si="174"/>
        <v>-5.9117155615240335E-12</v>
      </c>
      <c r="U405" s="57">
        <f ca="1">(U404-V404)*(1+'Retirement Planning'!$J$23/12)</f>
        <v>871264.9625355351</v>
      </c>
      <c r="V405" s="24">
        <f ca="1">IF(AND($B$10&lt;55,B405&lt;59.5),MIN(U405,MAX(0,(Y405+AA405+AJ405-G405)*'Retirement Planning'!$J$45)),IF(B405&lt;59.5,(MIN(U405,MAX(0,((Y405+AA405+AJ405)-G405-M405)*'Retirement Planning'!$J$45))),MIN(U405,MAX(0,(Y405+AA405+AJ405-G405-M405-K405-X405)*'Retirement Planning'!$J$45))))</f>
        <v>1855.2205615741307</v>
      </c>
      <c r="W405" s="7">
        <f t="shared" ca="1" si="175"/>
        <v>4402839.7229251591</v>
      </c>
      <c r="X405" s="7">
        <f>(IF(B405&gt;'Retirement Planning'!$J$34,IF('Retirement Planning'!$J$34=70,'Retirement Planning'!$J$37/12,IF('Retirement Planning'!$J$34=67,'Retirement Planning'!$J$36/12,'Retirement Planning'!$J$35/12)),0))*'Retirement Planning'!$J$38</f>
        <v>1213.6000000000001</v>
      </c>
      <c r="Y405" s="7">
        <f ca="1">'Retirement Planning'!$F$35*((1+'Retirement Planning'!$J$24)^(YEAR('Projected Retirement Drawdown'!C405)-YEAR(TODAY())))</f>
        <v>16155.73652954028</v>
      </c>
      <c r="Z405" s="7">
        <f ca="1">G405+M405+O405+0.85*X405+V405*'Retirement Planning'!$J$46+T405</f>
        <v>18032.023012241589</v>
      </c>
      <c r="AA405" s="7">
        <f ca="1">IF(MONTH(C405)=1,(((MIN(MAX(0,((SUM(Z393:Z404)-'Retirement Planning'!$I$53-'Retirement Planning'!$I$54)-'Retirement Planning'!$J$51)*'Retirement Planning'!$I$52))))+(MIN(MAX(0,((SUM(Z393:Z404)-'Retirement Planning'!$I$53-'Retirement Planning'!$I$54)-'Retirement Planning'!$J$50)*'Retirement Planning'!$I$51),('Retirement Planning'!$J$51-'Retirement Planning'!$J$50)*'Retirement Planning'!$I$51))+(MIN(MAX(0,((SUM(Z393:Z404)-'Retirement Planning'!$I$53-'Retirement Planning'!$I$54)-'Retirement Planning'!$J$49)*'Retirement Planning'!$I$50),('Retirement Planning'!$J$50-'Retirement Planning'!$J$49)*'Retirement Planning'!$I$50)+MIN(MAX(0,((SUM(Z393:Z404)-'Retirement Planning'!$I$53-'Retirement Planning'!$I$54)-'Retirement Planning'!$J$48)*'Retirement Planning'!$I$49),('Retirement Planning'!$J$49-'Retirement Planning'!$J$48)*'Retirement Planning'!$I$49)+MIN(((SUM(Z393:Z404)-'Retirement Planning'!$I$53-'Retirement Planning'!$I$54))*'Retirement Planning'!$I$48,('Retirement Planning'!$J$48)*'Retirement Planning'!$I$48))+(IF((SUM(Z393:Z404)-'Retirement Planning'!$I$54-'Retirement Planning'!$I$61)&gt;'Retirement Planning'!$J$59,(SUM(Z393:Z404)-'Retirement Planning'!$I$54-'Retirement Planning'!$I$61-'Retirement Planning'!$J$59)*'Retirement Planning'!$I$60+'Retirement Planning'!$K$59,IF((SUM(Z393:Z404)-'Retirement Planning'!$I$54-'Retirement Planning'!$I$61)&gt;'Retirement Planning'!$J$58,(SUM(Z393:Z404)-'Retirement Planning'!$I$54-'Retirement Planning'!$I$61-'Retirement Planning'!$J$58)*'Retirement Planning'!$I$59+'Retirement Planning'!$K$58,IF((SUM(Z393:Z404)-'Retirement Planning'!$I$54-'Retirement Planning'!$I$61)&gt;'Retirement Planning'!$J$57,(SUM(Z393:Z404)-'Retirement Planning'!$I$54-'Retirement Planning'!$I$61-'Retirement Planning'!$J$57)*'Retirement Planning'!$I$58+'Retirement Planning'!$K$57,IF((SUM(Z393:Z404)-'Retirement Planning'!$I$54-'Retirement Planning'!$I$61)&gt;'Retirement Planning'!$J$56,(SUM(Z393:Z404)-'Retirement Planning'!$I$54-'Retirement Planning'!$I$61-'Retirement Planning'!$J$56)*'Retirement Planning'!$I$57+'Retirement Planning'!$K$56,(SUM(Z393:Z404)-'Retirement Planning'!$I$54-'Retirement Planning'!$I$61)*'Retirement Planning'!$I$56))))))/12,AA404)</f>
        <v>4754.3766845039454</v>
      </c>
      <c r="AB405" s="104">
        <f t="shared" ref="AB405" ca="1" si="186">SUM(AA405:AA416)/SUM(Z393:Z404)</f>
        <v>0.27384069330055172</v>
      </c>
      <c r="AC405" s="7">
        <f>IF(B405&lt;65,'Retirement Planning'!$J$28,0)</f>
        <v>0</v>
      </c>
      <c r="AD405" s="7">
        <f>IF(B405&lt;65,'Retirement Planning'!$J$29/12,0)</f>
        <v>0</v>
      </c>
      <c r="AE405" s="22">
        <f>'Retirement Planning'!$J$31/12</f>
        <v>58.333333333333336</v>
      </c>
      <c r="AF405" s="22">
        <f>'Retirement Planning'!$J$32/12</f>
        <v>66.666666666666671</v>
      </c>
      <c r="AG405" s="7">
        <f>IF($B405&gt;64.9,'Retirement Planning'!$J$39/12,0)</f>
        <v>183.33333333333334</v>
      </c>
      <c r="AH405" s="7">
        <f>IF($B405&gt;64.9,'Retirement Planning'!$J$40/12,0)</f>
        <v>258.33333333333331</v>
      </c>
      <c r="AI405" s="7">
        <f>IF($B405&gt;64.9,'Retirement Planning'!$J$41/12,0)</f>
        <v>558.33333333333337</v>
      </c>
      <c r="AJ405" s="7">
        <f t="shared" ca="1" si="176"/>
        <v>316.66666666666663</v>
      </c>
      <c r="AK405" s="3" t="str">
        <f t="shared" ca="1" si="162"/>
        <v>N/A</v>
      </c>
      <c r="AL405" s="6" t="str">
        <f t="shared" ca="1" si="163"/>
        <v>N/A</v>
      </c>
      <c r="AM405" s="7">
        <f t="shared" ca="1" si="177"/>
        <v>1.1368683772161603E-12</v>
      </c>
      <c r="AN405" s="7">
        <f t="shared" ca="1" si="178"/>
        <v>22035.113214044224</v>
      </c>
      <c r="AO405" s="7">
        <f t="shared" si="179"/>
        <v>1125</v>
      </c>
    </row>
    <row r="406" spans="1:41" x14ac:dyDescent="0.2">
      <c r="A406">
        <f t="shared" si="180"/>
        <v>50</v>
      </c>
      <c r="B406" s="5">
        <f t="shared" si="181"/>
        <v>89.3</v>
      </c>
      <c r="C406" s="56">
        <f t="shared" si="182"/>
        <v>58472</v>
      </c>
      <c r="D406" s="57">
        <f ca="1">IF(AND(B405&lt;59.5,OR(B406&gt;59.5,B406=59.5)),(D405-E405+J405-K405)*(1+'Retirement Planning'!$J$23/12),(D405-E405)*(1+'Retirement Planning'!$J$23/12))</f>
        <v>1075609.5156963961</v>
      </c>
      <c r="E406" s="58">
        <f t="shared" ca="1" si="171"/>
        <v>2177.8676157609389</v>
      </c>
      <c r="F406" s="57">
        <f ca="1">IF(AND(OR(B406&gt;59.5,B406=59.5),B405&lt;59.5),(F405-G405+L405-M405+N405-O405)*(1+'Retirement Planning'!$J$23/12),(F405-G405)*(1+'Retirement Planning'!$J$23/12))</f>
        <v>905966.71589274961</v>
      </c>
      <c r="G406" s="58">
        <f ca="1">IF(AND($B$10&lt;55,B406&lt;59.5),'Retirement Planning'!$J$25,IF(OR(B406&gt;59.5,B406=59.5),MAX(0,MIN(F406,IF(D406&lt;2500,((Y406+AJ406+AA406))-X406,((Y406+AJ406+AA406)*'Retirement Planning'!$J$44)-X406))),0))</f>
        <v>15980.091703375825</v>
      </c>
      <c r="H406" s="255">
        <f ca="1">IF(MONTH(C406)=1,IF(B406&gt;69.5,F406/(INDEX('Retirement Planning'!D$1:D$264,(160+INT(B406))))/12,0),IF(F406=0,0,H405))</f>
        <v>12110.776180787645</v>
      </c>
      <c r="I406" s="262">
        <f t="shared" ca="1" si="172"/>
        <v>0</v>
      </c>
      <c r="J406" s="254">
        <f ca="1">IF(AND(B405&lt;59.5,OR(B406=59.5,B406&gt;59.5)),0,(J405-K405)*(1+'Retirement Planning'!$J$23/12))</f>
        <v>0</v>
      </c>
      <c r="K406" s="58">
        <f t="shared" ca="1" si="173"/>
        <v>0</v>
      </c>
      <c r="L406" s="57">
        <f>IF(AND(OR(B406&gt;59.5,B406=59.5),B405&lt;59.5),0,(L405-M405)*(1+'Retirement Planning'!$J$23/12))</f>
        <v>0</v>
      </c>
      <c r="M406" s="59">
        <f>IF(AND($B$10&lt;55,B406&lt;59.5),0,IF(B406&lt;59.5,MAX(0,MIN((($Y406+$AJ406+AA406)*'Retirement Planning'!$J$44)-$G406-$X406,L406)),0))</f>
        <v>0</v>
      </c>
      <c r="N406" s="57">
        <f ca="1">(N405-O405)*(1+'Retirement Planning'!$J$23/12)</f>
        <v>0</v>
      </c>
      <c r="O406" s="59">
        <f ca="1">IF(B406&gt;59.5,MAX(0,MIN((AA406+$Y406+$AJ406)*(IF(D406&lt;(MIN(E394:E405)+1),1,'Retirement Planning'!$J$44))-M406-$G406-$X406-(IF(D406&lt;(MIN(E394:E405)+1),D406,0)),N406)),0)</f>
        <v>0</v>
      </c>
      <c r="P406" s="57">
        <f t="shared" si="183"/>
        <v>0</v>
      </c>
      <c r="Q406" s="58">
        <f t="shared" si="184"/>
        <v>0</v>
      </c>
      <c r="R406" s="57">
        <f ca="1">(R405-S405-T405)*(1+'Retirement Planning'!$J$23/12)</f>
        <v>1555913.2127944794</v>
      </c>
      <c r="S406" s="58">
        <f t="shared" ca="1" si="185"/>
        <v>808.33333333333337</v>
      </c>
      <c r="T406" s="273">
        <f t="shared" ca="1" si="174"/>
        <v>-5.9117155615240335E-12</v>
      </c>
      <c r="U406" s="57">
        <f ca="1">(U405-V405)*(1+'Retirement Planning'!$J$23/12)</f>
        <v>875568.06097960984</v>
      </c>
      <c r="V406" s="24">
        <f ca="1">IF(AND($B$10&lt;55,B406&lt;59.5),MIN(U406,MAX(0,(Y406+AA406+AJ406-G406)*'Retirement Planning'!$J$45)),IF(B406&lt;59.5,(MIN(U406,MAX(0,((Y406+AA406+AJ406)-G406-M406)*'Retirement Planning'!$J$45))),MIN(U406,MAX(0,(Y406+AA406+AJ406-G406-M406-K406-X406)*'Retirement Planning'!$J$45))))</f>
        <v>1855.2205615741307</v>
      </c>
      <c r="W406" s="7">
        <f t="shared" ca="1" si="175"/>
        <v>4413057.5053632353</v>
      </c>
      <c r="X406" s="7">
        <f>(IF(B406&gt;'Retirement Planning'!$J$34,IF('Retirement Planning'!$J$34=70,'Retirement Planning'!$J$37/12,IF('Retirement Planning'!$J$34=67,'Retirement Planning'!$J$36/12,'Retirement Planning'!$J$35/12)),0))*'Retirement Planning'!$J$38</f>
        <v>1213.6000000000001</v>
      </c>
      <c r="Y406" s="7">
        <f ca="1">'Retirement Planning'!$F$35*((1+'Retirement Planning'!$J$24)^(YEAR('Projected Retirement Drawdown'!C406)-YEAR(TODAY())))</f>
        <v>16155.73652954028</v>
      </c>
      <c r="Z406" s="7">
        <f ca="1">G406+M406+O406+0.85*X406+V406*'Retirement Planning'!$J$46+T406</f>
        <v>18032.023012241589</v>
      </c>
      <c r="AA406" s="7">
        <f ca="1">IF(MONTH(C406)=1,(((MIN(MAX(0,((SUM(Z394:Z405)-'Retirement Planning'!$I$53-'Retirement Planning'!$I$54)-'Retirement Planning'!$J$51)*'Retirement Planning'!$I$52))))+(MIN(MAX(0,((SUM(Z394:Z405)-'Retirement Planning'!$I$53-'Retirement Planning'!$I$54)-'Retirement Planning'!$J$50)*'Retirement Planning'!$I$51),('Retirement Planning'!$J$51-'Retirement Planning'!$J$50)*'Retirement Planning'!$I$51))+(MIN(MAX(0,((SUM(Z394:Z405)-'Retirement Planning'!$I$53-'Retirement Planning'!$I$54)-'Retirement Planning'!$J$49)*'Retirement Planning'!$I$50),('Retirement Planning'!$J$50-'Retirement Planning'!$J$49)*'Retirement Planning'!$I$50)+MIN(MAX(0,((SUM(Z394:Z405)-'Retirement Planning'!$I$53-'Retirement Planning'!$I$54)-'Retirement Planning'!$J$48)*'Retirement Planning'!$I$49),('Retirement Planning'!$J$49-'Retirement Planning'!$J$48)*'Retirement Planning'!$I$49)+MIN(((SUM(Z394:Z405)-'Retirement Planning'!$I$53-'Retirement Planning'!$I$54))*'Retirement Planning'!$I$48,('Retirement Planning'!$J$48)*'Retirement Planning'!$I$48))+(IF((SUM(Z394:Z405)-'Retirement Planning'!$I$54-'Retirement Planning'!$I$61)&gt;'Retirement Planning'!$J$59,(SUM(Z394:Z405)-'Retirement Planning'!$I$54-'Retirement Planning'!$I$61-'Retirement Planning'!$J$59)*'Retirement Planning'!$I$60+'Retirement Planning'!$K$59,IF((SUM(Z394:Z405)-'Retirement Planning'!$I$54-'Retirement Planning'!$I$61)&gt;'Retirement Planning'!$J$58,(SUM(Z394:Z405)-'Retirement Planning'!$I$54-'Retirement Planning'!$I$61-'Retirement Planning'!$J$58)*'Retirement Planning'!$I$59+'Retirement Planning'!$K$58,IF((SUM(Z394:Z405)-'Retirement Planning'!$I$54-'Retirement Planning'!$I$61)&gt;'Retirement Planning'!$J$57,(SUM(Z394:Z405)-'Retirement Planning'!$I$54-'Retirement Planning'!$I$61-'Retirement Planning'!$J$57)*'Retirement Planning'!$I$58+'Retirement Planning'!$K$57,IF((SUM(Z394:Z405)-'Retirement Planning'!$I$54-'Retirement Planning'!$I$61)&gt;'Retirement Planning'!$J$56,(SUM(Z394:Z405)-'Retirement Planning'!$I$54-'Retirement Planning'!$I$61-'Retirement Planning'!$J$56)*'Retirement Planning'!$I$57+'Retirement Planning'!$K$56,(SUM(Z394:Z405)-'Retirement Planning'!$I$54-'Retirement Planning'!$I$61)*'Retirement Planning'!$I$56))))))/12,AA405)</f>
        <v>4754.3766845039454</v>
      </c>
      <c r="AB406" s="104">
        <f t="shared" ref="AB406:AB437" ca="1" si="187">AB405</f>
        <v>0.27384069330055172</v>
      </c>
      <c r="AC406" s="7">
        <f>IF(B406&lt;65,'Retirement Planning'!$J$28,0)</f>
        <v>0</v>
      </c>
      <c r="AD406" s="7">
        <f>IF(B406&lt;65,'Retirement Planning'!$J$29/12,0)</f>
        <v>0</v>
      </c>
      <c r="AE406" s="22">
        <f>'Retirement Planning'!$J$31/12</f>
        <v>58.333333333333336</v>
      </c>
      <c r="AF406" s="22">
        <f>'Retirement Planning'!$J$32/12</f>
        <v>66.666666666666671</v>
      </c>
      <c r="AG406" s="7">
        <f>IF($B406&gt;64.9,'Retirement Planning'!$J$39/12,0)</f>
        <v>183.33333333333334</v>
      </c>
      <c r="AH406" s="7">
        <f>IF($B406&gt;64.9,'Retirement Planning'!$J$40/12,0)</f>
        <v>258.33333333333331</v>
      </c>
      <c r="AI406" s="7">
        <f>IF($B406&gt;64.9,'Retirement Planning'!$J$41/12,0)</f>
        <v>558.33333333333337</v>
      </c>
      <c r="AJ406" s="7">
        <f t="shared" ca="1" si="176"/>
        <v>316.66666666666663</v>
      </c>
      <c r="AK406" s="3" t="str">
        <f t="shared" ca="1" si="162"/>
        <v>N/A</v>
      </c>
      <c r="AL406" s="6" t="str">
        <f t="shared" ca="1" si="163"/>
        <v>N/A</v>
      </c>
      <c r="AM406" s="7">
        <f t="shared" ca="1" si="177"/>
        <v>1.1368683772161603E-12</v>
      </c>
      <c r="AN406" s="7">
        <f t="shared" ca="1" si="178"/>
        <v>22035.113214044224</v>
      </c>
      <c r="AO406" s="7">
        <f t="shared" si="179"/>
        <v>1125</v>
      </c>
    </row>
    <row r="407" spans="1:41" x14ac:dyDescent="0.2">
      <c r="A407">
        <f t="shared" si="180"/>
        <v>50</v>
      </c>
      <c r="B407" s="5">
        <f t="shared" si="181"/>
        <v>89.4</v>
      </c>
      <c r="C407" s="56">
        <f t="shared" si="182"/>
        <v>58501</v>
      </c>
      <c r="D407" s="57">
        <f ca="1">IF(AND(B406&lt;59.5,OR(B407&gt;59.5,B407=59.5)),(D406-E406+J406-K406)*(1+'Retirement Planning'!$J$23/12),(D406-E406)*(1+'Retirement Planning'!$J$23/12))</f>
        <v>1081035.1222545395</v>
      </c>
      <c r="E407" s="58">
        <f t="shared" ca="1" si="171"/>
        <v>2177.8676157609389</v>
      </c>
      <c r="F407" s="57">
        <f ca="1">IF(AND(OR(B407&gt;59.5,B407=59.5),B406&lt;59.5),(F406-G406+L406-M406+N406-O406)*(1+'Retirement Planning'!$J$23/12),(F406-G406)*(1+'Retirement Planning'!$J$23/12))</f>
        <v>896290.69611071516</v>
      </c>
      <c r="G407" s="58">
        <f ca="1">IF(AND($B$10&lt;55,B407&lt;59.5),'Retirement Planning'!$J$25,IF(OR(B407&gt;59.5,B407=59.5),MAX(0,MIN(F407,IF(D407&lt;2500,((Y407+AJ407+AA407))-X407,((Y407+AJ407+AA407)*'Retirement Planning'!$J$44)-X407))),0))</f>
        <v>15980.091703375825</v>
      </c>
      <c r="H407" s="255">
        <f ca="1">IF(MONTH(C407)=1,IF(B407&gt;69.5,F407/(INDEX('Retirement Planning'!D$1:D$264,(160+INT(B407))))/12,0),IF(F407=0,0,H406))</f>
        <v>12110.776180787645</v>
      </c>
      <c r="I407" s="262">
        <f t="shared" ca="1" si="172"/>
        <v>0</v>
      </c>
      <c r="J407" s="254">
        <f ca="1">IF(AND(B406&lt;59.5,OR(B407=59.5,B407&gt;59.5)),0,(J406-K406)*(1+'Retirement Planning'!$J$23/12))</f>
        <v>0</v>
      </c>
      <c r="K407" s="58">
        <f t="shared" ca="1" si="173"/>
        <v>0</v>
      </c>
      <c r="L407" s="57">
        <f>IF(AND(OR(B407&gt;59.5,B407=59.5),B406&lt;59.5),0,(L406-M406)*(1+'Retirement Planning'!$J$23/12))</f>
        <v>0</v>
      </c>
      <c r="M407" s="59">
        <f>IF(AND($B$10&lt;55,B407&lt;59.5),0,IF(B407&lt;59.5,MAX(0,MIN((($Y407+$AJ407+AA407)*'Retirement Planning'!$J$44)-$G407-$X407,L407)),0))</f>
        <v>0</v>
      </c>
      <c r="N407" s="57">
        <f ca="1">(N406-O406)*(1+'Retirement Planning'!$J$23/12)</f>
        <v>0</v>
      </c>
      <c r="O407" s="59">
        <f ca="1">IF(B407&gt;59.5,MAX(0,MIN((AA407+$Y407+$AJ407)*(IF(D407&lt;(MIN(E395:E406)+1),1,'Retirement Planning'!$J$44))-M407-$G407-$X407-(IF(D407&lt;(MIN(E395:E406)+1),D407,0)),N407)),0)</f>
        <v>0</v>
      </c>
      <c r="P407" s="57">
        <f t="shared" si="183"/>
        <v>0</v>
      </c>
      <c r="Q407" s="58">
        <f t="shared" si="184"/>
        <v>0</v>
      </c>
      <c r="R407" s="57">
        <f ca="1">(R406-S406-T406)*(1+'Retirement Planning'!$J$23/12)</f>
        <v>1566120.2056906626</v>
      </c>
      <c r="S407" s="58">
        <f t="shared" ca="1" si="185"/>
        <v>808.33333333333337</v>
      </c>
      <c r="T407" s="273">
        <f t="shared" ca="1" si="174"/>
        <v>-5.9117155615240335E-12</v>
      </c>
      <c r="U407" s="57">
        <f ca="1">(U406-V406)*(1+'Retirement Planning'!$J$23/12)</f>
        <v>879901.63970433013</v>
      </c>
      <c r="V407" s="24">
        <f ca="1">IF(AND($B$10&lt;55,B407&lt;59.5),MIN(U407,MAX(0,(Y407+AA407+AJ407-G407)*'Retirement Planning'!$J$45)),IF(B407&lt;59.5,(MIN(U407,MAX(0,((Y407+AA407+AJ407)-G407-M407)*'Retirement Planning'!$J$45))),MIN(U407,MAX(0,(Y407+AA407+AJ407-G407-M407-K407-X407)*'Retirement Planning'!$J$45))))</f>
        <v>1855.2205615741307</v>
      </c>
      <c r="W407" s="7">
        <f t="shared" ca="1" si="175"/>
        <v>4423347.6637602476</v>
      </c>
      <c r="X407" s="7">
        <f>(IF(B407&gt;'Retirement Planning'!$J$34,IF('Retirement Planning'!$J$34=70,'Retirement Planning'!$J$37/12,IF('Retirement Planning'!$J$34=67,'Retirement Planning'!$J$36/12,'Retirement Planning'!$J$35/12)),0))*'Retirement Planning'!$J$38</f>
        <v>1213.6000000000001</v>
      </c>
      <c r="Y407" s="7">
        <f ca="1">'Retirement Planning'!$F$35*((1+'Retirement Planning'!$J$24)^(YEAR('Projected Retirement Drawdown'!C407)-YEAR(TODAY())))</f>
        <v>16155.73652954028</v>
      </c>
      <c r="Z407" s="7">
        <f ca="1">G407+M407+O407+0.85*X407+V407*'Retirement Planning'!$J$46+T407</f>
        <v>18032.023012241589</v>
      </c>
      <c r="AA407" s="7">
        <f ca="1">IF(MONTH(C407)=1,(((MIN(MAX(0,((SUM(Z395:Z406)-'Retirement Planning'!$I$53-'Retirement Planning'!$I$54)-'Retirement Planning'!$J$51)*'Retirement Planning'!$I$52))))+(MIN(MAX(0,((SUM(Z395:Z406)-'Retirement Planning'!$I$53-'Retirement Planning'!$I$54)-'Retirement Planning'!$J$50)*'Retirement Planning'!$I$51),('Retirement Planning'!$J$51-'Retirement Planning'!$J$50)*'Retirement Planning'!$I$51))+(MIN(MAX(0,((SUM(Z395:Z406)-'Retirement Planning'!$I$53-'Retirement Planning'!$I$54)-'Retirement Planning'!$J$49)*'Retirement Planning'!$I$50),('Retirement Planning'!$J$50-'Retirement Planning'!$J$49)*'Retirement Planning'!$I$50)+MIN(MAX(0,((SUM(Z395:Z406)-'Retirement Planning'!$I$53-'Retirement Planning'!$I$54)-'Retirement Planning'!$J$48)*'Retirement Planning'!$I$49),('Retirement Planning'!$J$49-'Retirement Planning'!$J$48)*'Retirement Planning'!$I$49)+MIN(((SUM(Z395:Z406)-'Retirement Planning'!$I$53-'Retirement Planning'!$I$54))*'Retirement Planning'!$I$48,('Retirement Planning'!$J$48)*'Retirement Planning'!$I$48))+(IF((SUM(Z395:Z406)-'Retirement Planning'!$I$54-'Retirement Planning'!$I$61)&gt;'Retirement Planning'!$J$59,(SUM(Z395:Z406)-'Retirement Planning'!$I$54-'Retirement Planning'!$I$61-'Retirement Planning'!$J$59)*'Retirement Planning'!$I$60+'Retirement Planning'!$K$59,IF((SUM(Z395:Z406)-'Retirement Planning'!$I$54-'Retirement Planning'!$I$61)&gt;'Retirement Planning'!$J$58,(SUM(Z395:Z406)-'Retirement Planning'!$I$54-'Retirement Planning'!$I$61-'Retirement Planning'!$J$58)*'Retirement Planning'!$I$59+'Retirement Planning'!$K$58,IF((SUM(Z395:Z406)-'Retirement Planning'!$I$54-'Retirement Planning'!$I$61)&gt;'Retirement Planning'!$J$57,(SUM(Z395:Z406)-'Retirement Planning'!$I$54-'Retirement Planning'!$I$61-'Retirement Planning'!$J$57)*'Retirement Planning'!$I$58+'Retirement Planning'!$K$57,IF((SUM(Z395:Z406)-'Retirement Planning'!$I$54-'Retirement Planning'!$I$61)&gt;'Retirement Planning'!$J$56,(SUM(Z395:Z406)-'Retirement Planning'!$I$54-'Retirement Planning'!$I$61-'Retirement Planning'!$J$56)*'Retirement Planning'!$I$57+'Retirement Planning'!$K$56,(SUM(Z395:Z406)-'Retirement Planning'!$I$54-'Retirement Planning'!$I$61)*'Retirement Planning'!$I$56))))))/12,AA406)</f>
        <v>4754.3766845039454</v>
      </c>
      <c r="AB407" s="104">
        <f t="shared" ca="1" si="164"/>
        <v>0.27384069330055172</v>
      </c>
      <c r="AC407" s="7">
        <f>IF(B407&lt;65,'Retirement Planning'!$J$28,0)</f>
        <v>0</v>
      </c>
      <c r="AD407" s="7">
        <f>IF(B407&lt;65,'Retirement Planning'!$J$29/12,0)</f>
        <v>0</v>
      </c>
      <c r="AE407" s="22">
        <f>'Retirement Planning'!$J$31/12</f>
        <v>58.333333333333336</v>
      </c>
      <c r="AF407" s="22">
        <f>'Retirement Planning'!$J$32/12</f>
        <v>66.666666666666671</v>
      </c>
      <c r="AG407" s="7">
        <f>IF($B407&gt;64.9,'Retirement Planning'!$J$39/12,0)</f>
        <v>183.33333333333334</v>
      </c>
      <c r="AH407" s="7">
        <f>IF($B407&gt;64.9,'Retirement Planning'!$J$40/12,0)</f>
        <v>258.33333333333331</v>
      </c>
      <c r="AI407" s="7">
        <f>IF($B407&gt;64.9,'Retirement Planning'!$J$41/12,0)</f>
        <v>558.33333333333337</v>
      </c>
      <c r="AJ407" s="7">
        <f t="shared" ca="1" si="176"/>
        <v>316.66666666666663</v>
      </c>
      <c r="AK407" s="3" t="str">
        <f t="shared" ca="1" si="162"/>
        <v>N/A</v>
      </c>
      <c r="AL407" s="6" t="str">
        <f t="shared" ca="1" si="163"/>
        <v>N/A</v>
      </c>
      <c r="AM407" s="7">
        <f t="shared" ca="1" si="177"/>
        <v>1.1368683772161603E-12</v>
      </c>
      <c r="AN407" s="7">
        <f t="shared" ca="1" si="178"/>
        <v>22035.113214044224</v>
      </c>
      <c r="AO407" s="7">
        <f t="shared" si="179"/>
        <v>1125</v>
      </c>
    </row>
    <row r="408" spans="1:41" x14ac:dyDescent="0.2">
      <c r="A408">
        <f t="shared" si="180"/>
        <v>50</v>
      </c>
      <c r="B408" s="5">
        <f t="shared" si="181"/>
        <v>89.5</v>
      </c>
      <c r="C408" s="56">
        <f t="shared" si="182"/>
        <v>58532</v>
      </c>
      <c r="D408" s="57">
        <f ca="1">IF(AND(B407&lt;59.5,OR(B408&gt;59.5,B408=59.5)),(D407-E407+J407-K407)*(1+'Retirement Planning'!$J$23/12),(D407-E407)*(1+'Retirement Planning'!$J$23/12))</f>
        <v>1086499.1601924698</v>
      </c>
      <c r="E408" s="58">
        <f t="shared" ca="1" si="171"/>
        <v>2177.8676157609389</v>
      </c>
      <c r="F408" s="57">
        <f ca="1">IF(AND(OR(B408&gt;59.5,B408=59.5),B407&lt;59.5),(F407-G407+L407-M407+N407-O407)*(1+'Retirement Planning'!$J$23/12),(F407-G407)*(1+'Retirement Planning'!$J$23/12))</f>
        <v>886546.13785522466</v>
      </c>
      <c r="G408" s="58">
        <f ca="1">IF(AND($B$10&lt;55,B408&lt;59.5),'Retirement Planning'!$J$25,IF(OR(B408&gt;59.5,B408=59.5),MAX(0,MIN(F408,IF(D408&lt;2500,((Y408+AJ408+AA408))-X408,((Y408+AJ408+AA408)*'Retirement Planning'!$J$44)-X408))),0))</f>
        <v>15980.091703375825</v>
      </c>
      <c r="H408" s="255">
        <f ca="1">IF(MONTH(C408)=1,IF(B408&gt;69.5,F408/(INDEX('Retirement Planning'!D$1:D$264,(160+INT(B408))))/12,0),IF(F408=0,0,H407))</f>
        <v>12110.776180787645</v>
      </c>
      <c r="I408" s="262">
        <f t="shared" ca="1" si="172"/>
        <v>0</v>
      </c>
      <c r="J408" s="254">
        <f ca="1">IF(AND(B407&lt;59.5,OR(B408=59.5,B408&gt;59.5)),0,(J407-K407)*(1+'Retirement Planning'!$J$23/12))</f>
        <v>0</v>
      </c>
      <c r="K408" s="58">
        <f t="shared" ca="1" si="173"/>
        <v>0</v>
      </c>
      <c r="L408" s="57">
        <f>IF(AND(OR(B408&gt;59.5,B408=59.5),B407&lt;59.5),0,(L407-M407)*(1+'Retirement Planning'!$J$23/12))</f>
        <v>0</v>
      </c>
      <c r="M408" s="59">
        <f>IF(AND($B$10&lt;55,B408&lt;59.5),0,IF(B408&lt;59.5,MAX(0,MIN((($Y408+$AJ408+AA408)*'Retirement Planning'!$J$44)-$G408-$X408,L408)),0))</f>
        <v>0</v>
      </c>
      <c r="N408" s="57">
        <f ca="1">(N407-O407)*(1+'Retirement Planning'!$J$23/12)</f>
        <v>0</v>
      </c>
      <c r="O408" s="59">
        <f ca="1">IF(B408&gt;59.5,MAX(0,MIN((AA408+$Y408+$AJ408)*(IF(D408&lt;(MIN(E396:E407)+1),1,'Retirement Planning'!$J$44))-M408-$G408-$X408-(IF(D408&lt;(MIN(E396:E407)+1),D408,0)),N408)),0)</f>
        <v>0</v>
      </c>
      <c r="P408" s="57">
        <f t="shared" si="183"/>
        <v>0</v>
      </c>
      <c r="Q408" s="58">
        <f t="shared" si="184"/>
        <v>0</v>
      </c>
      <c r="R408" s="57">
        <f ca="1">(R407-S407-T407)*(1+'Retirement Planning'!$J$23/12)</f>
        <v>1576399.4981198604</v>
      </c>
      <c r="S408" s="58">
        <f t="shared" ca="1" si="185"/>
        <v>808.33333333333337</v>
      </c>
      <c r="T408" s="273">
        <f t="shared" ca="1" si="174"/>
        <v>-5.9117155615240335E-12</v>
      </c>
      <c r="U408" s="57">
        <f ca="1">(U407-V407)*(1+'Retirement Planning'!$J$23/12)</f>
        <v>884265.91461168393</v>
      </c>
      <c r="V408" s="24">
        <f ca="1">IF(AND($B$10&lt;55,B408&lt;59.5),MIN(U408,MAX(0,(Y408+AA408+AJ408-G408)*'Retirement Planning'!$J$45)),IF(B408&lt;59.5,(MIN(U408,MAX(0,((Y408+AA408+AJ408)-G408-M408)*'Retirement Planning'!$J$45))),MIN(U408,MAX(0,(Y408+AA408+AJ408-G408-M408-K408-X408)*'Retirement Planning'!$J$45))))</f>
        <v>1855.2205615741307</v>
      </c>
      <c r="W408" s="7">
        <f t="shared" ca="1" si="175"/>
        <v>4433710.7107792385</v>
      </c>
      <c r="X408" s="7">
        <f>(IF(B408&gt;'Retirement Planning'!$J$34,IF('Retirement Planning'!$J$34=70,'Retirement Planning'!$J$37/12,IF('Retirement Planning'!$J$34=67,'Retirement Planning'!$J$36/12,'Retirement Planning'!$J$35/12)),0))*'Retirement Planning'!$J$38</f>
        <v>1213.6000000000001</v>
      </c>
      <c r="Y408" s="7">
        <f ca="1">'Retirement Planning'!$F$35*((1+'Retirement Planning'!$J$24)^(YEAR('Projected Retirement Drawdown'!C408)-YEAR(TODAY())))</f>
        <v>16155.73652954028</v>
      </c>
      <c r="Z408" s="7">
        <f ca="1">G408+M408+O408+0.85*X408+V408*'Retirement Planning'!$J$46+T408</f>
        <v>18032.023012241589</v>
      </c>
      <c r="AA408" s="7">
        <f ca="1">IF(MONTH(C408)=1,(((MIN(MAX(0,((SUM(Z396:Z407)-'Retirement Planning'!$I$53-'Retirement Planning'!$I$54)-'Retirement Planning'!$J$51)*'Retirement Planning'!$I$52))))+(MIN(MAX(0,((SUM(Z396:Z407)-'Retirement Planning'!$I$53-'Retirement Planning'!$I$54)-'Retirement Planning'!$J$50)*'Retirement Planning'!$I$51),('Retirement Planning'!$J$51-'Retirement Planning'!$J$50)*'Retirement Planning'!$I$51))+(MIN(MAX(0,((SUM(Z396:Z407)-'Retirement Planning'!$I$53-'Retirement Planning'!$I$54)-'Retirement Planning'!$J$49)*'Retirement Planning'!$I$50),('Retirement Planning'!$J$50-'Retirement Planning'!$J$49)*'Retirement Planning'!$I$50)+MIN(MAX(0,((SUM(Z396:Z407)-'Retirement Planning'!$I$53-'Retirement Planning'!$I$54)-'Retirement Planning'!$J$48)*'Retirement Planning'!$I$49),('Retirement Planning'!$J$49-'Retirement Planning'!$J$48)*'Retirement Planning'!$I$49)+MIN(((SUM(Z396:Z407)-'Retirement Planning'!$I$53-'Retirement Planning'!$I$54))*'Retirement Planning'!$I$48,('Retirement Planning'!$J$48)*'Retirement Planning'!$I$48))+(IF((SUM(Z396:Z407)-'Retirement Planning'!$I$54-'Retirement Planning'!$I$61)&gt;'Retirement Planning'!$J$59,(SUM(Z396:Z407)-'Retirement Planning'!$I$54-'Retirement Planning'!$I$61-'Retirement Planning'!$J$59)*'Retirement Planning'!$I$60+'Retirement Planning'!$K$59,IF((SUM(Z396:Z407)-'Retirement Planning'!$I$54-'Retirement Planning'!$I$61)&gt;'Retirement Planning'!$J$58,(SUM(Z396:Z407)-'Retirement Planning'!$I$54-'Retirement Planning'!$I$61-'Retirement Planning'!$J$58)*'Retirement Planning'!$I$59+'Retirement Planning'!$K$58,IF((SUM(Z396:Z407)-'Retirement Planning'!$I$54-'Retirement Planning'!$I$61)&gt;'Retirement Planning'!$J$57,(SUM(Z396:Z407)-'Retirement Planning'!$I$54-'Retirement Planning'!$I$61-'Retirement Planning'!$J$57)*'Retirement Planning'!$I$58+'Retirement Planning'!$K$57,IF((SUM(Z396:Z407)-'Retirement Planning'!$I$54-'Retirement Planning'!$I$61)&gt;'Retirement Planning'!$J$56,(SUM(Z396:Z407)-'Retirement Planning'!$I$54-'Retirement Planning'!$I$61-'Retirement Planning'!$J$56)*'Retirement Planning'!$I$57+'Retirement Planning'!$K$56,(SUM(Z396:Z407)-'Retirement Planning'!$I$54-'Retirement Planning'!$I$61)*'Retirement Planning'!$I$56))))))/12,AA407)</f>
        <v>4754.3766845039454</v>
      </c>
      <c r="AB408" s="104">
        <f t="shared" ca="1" si="164"/>
        <v>0.27384069330055172</v>
      </c>
      <c r="AC408" s="7">
        <f>IF(B408&lt;65,'Retirement Planning'!$J$28,0)</f>
        <v>0</v>
      </c>
      <c r="AD408" s="7">
        <f>IF(B408&lt;65,'Retirement Planning'!$J$29/12,0)</f>
        <v>0</v>
      </c>
      <c r="AE408" s="22">
        <f>'Retirement Planning'!$J$31/12</f>
        <v>58.333333333333336</v>
      </c>
      <c r="AF408" s="22">
        <f>'Retirement Planning'!$J$32/12</f>
        <v>66.666666666666671</v>
      </c>
      <c r="AG408" s="7">
        <f>IF($B408&gt;64.9,'Retirement Planning'!$J$39/12,0)</f>
        <v>183.33333333333334</v>
      </c>
      <c r="AH408" s="7">
        <f>IF($B408&gt;64.9,'Retirement Planning'!$J$40/12,0)</f>
        <v>258.33333333333331</v>
      </c>
      <c r="AI408" s="7">
        <f>IF($B408&gt;64.9,'Retirement Planning'!$J$41/12,0)</f>
        <v>558.33333333333337</v>
      </c>
      <c r="AJ408" s="7">
        <f t="shared" ca="1" si="176"/>
        <v>316.66666666666663</v>
      </c>
      <c r="AK408" s="3" t="str">
        <f t="shared" ca="1" si="162"/>
        <v>N/A</v>
      </c>
      <c r="AL408" s="6" t="str">
        <f t="shared" ca="1" si="163"/>
        <v>N/A</v>
      </c>
      <c r="AM408" s="7">
        <f t="shared" ca="1" si="177"/>
        <v>1.1368683772161603E-12</v>
      </c>
      <c r="AN408" s="7">
        <f t="shared" ca="1" si="178"/>
        <v>22035.113214044224</v>
      </c>
      <c r="AO408" s="7">
        <f t="shared" si="179"/>
        <v>1125</v>
      </c>
    </row>
    <row r="409" spans="1:41" x14ac:dyDescent="0.2">
      <c r="A409">
        <f t="shared" si="180"/>
        <v>50</v>
      </c>
      <c r="B409" s="5">
        <f t="shared" si="181"/>
        <v>89.5</v>
      </c>
      <c r="C409" s="56">
        <f t="shared" si="182"/>
        <v>58562</v>
      </c>
      <c r="D409" s="57">
        <f ca="1">IF(AND(B408&lt;59.5,OR(B409&gt;59.5,B409=59.5)),(D408-E408+J408-K408)*(1+'Retirement Planning'!$J$23/12),(D408-E408)*(1+'Retirement Planning'!$J$23/12))</f>
        <v>1092001.9017324606</v>
      </c>
      <c r="E409" s="58">
        <f t="shared" ca="1" si="171"/>
        <v>2177.8676157609389</v>
      </c>
      <c r="F409" s="57">
        <f ca="1">IF(AND(OR(B409&gt;59.5,B409=59.5),B408&lt;59.5),(F408-G408+L408-M408+N408-O408)*(1+'Retirement Planning'!$J$23/12),(F408-G408)*(1+'Retirement Planning'!$J$23/12))</f>
        <v>876732.55564542441</v>
      </c>
      <c r="G409" s="58">
        <f ca="1">IF(AND($B$10&lt;55,B409&lt;59.5),'Retirement Planning'!$J$25,IF(OR(B409&gt;59.5,B409=59.5),MAX(0,MIN(F409,IF(D409&lt;2500,((Y409+AJ409+AA409))-X409,((Y409+AJ409+AA409)*'Retirement Planning'!$J$44)-X409))),0))</f>
        <v>15980.091703375825</v>
      </c>
      <c r="H409" s="255">
        <f ca="1">IF(MONTH(C409)=1,IF(B409&gt;69.5,F409/(INDEX('Retirement Planning'!D$1:D$264,(160+INT(B409))))/12,0),IF(F409=0,0,H408))</f>
        <v>12110.776180787645</v>
      </c>
      <c r="I409" s="262">
        <f t="shared" ca="1" si="172"/>
        <v>0</v>
      </c>
      <c r="J409" s="254">
        <f ca="1">IF(AND(B408&lt;59.5,OR(B409=59.5,B409&gt;59.5)),0,(J408-K408)*(1+'Retirement Planning'!$J$23/12))</f>
        <v>0</v>
      </c>
      <c r="K409" s="58">
        <f t="shared" ca="1" si="173"/>
        <v>0</v>
      </c>
      <c r="L409" s="57">
        <f>IF(AND(OR(B409&gt;59.5,B409=59.5),B408&lt;59.5),0,(L408-M408)*(1+'Retirement Planning'!$J$23/12))</f>
        <v>0</v>
      </c>
      <c r="M409" s="59">
        <f>IF(AND($B$10&lt;55,B409&lt;59.5),0,IF(B409&lt;59.5,MAX(0,MIN((($Y409+$AJ409+AA409)*'Retirement Planning'!$J$44)-$G409-$X409,L409)),0))</f>
        <v>0</v>
      </c>
      <c r="N409" s="57">
        <f ca="1">(N408-O408)*(1+'Retirement Planning'!$J$23/12)</f>
        <v>0</v>
      </c>
      <c r="O409" s="59">
        <f ca="1">IF(B409&gt;59.5,MAX(0,MIN((AA409+$Y409+$AJ409)*(IF(D409&lt;(MIN(E397:E408)+1),1,'Retirement Planning'!$J$44))-M409-$G409-$X409-(IF(D409&lt;(MIN(E397:E408)+1),D409,0)),N409)),0)</f>
        <v>0</v>
      </c>
      <c r="P409" s="57">
        <f t="shared" si="183"/>
        <v>0</v>
      </c>
      <c r="Q409" s="58">
        <f t="shared" si="184"/>
        <v>0</v>
      </c>
      <c r="R409" s="57">
        <f ca="1">(R408-S408-T408)*(1+'Retirement Planning'!$J$23/12)</f>
        <v>1586751.602203765</v>
      </c>
      <c r="S409" s="58">
        <f t="shared" ca="1" si="185"/>
        <v>808.33333333333337</v>
      </c>
      <c r="T409" s="273">
        <f t="shared" ca="1" si="174"/>
        <v>-5.9117155615240335E-12</v>
      </c>
      <c r="U409" s="57">
        <f ca="1">(U408-V408)*(1+'Retirement Planning'!$J$23/12)</f>
        <v>888661.10313296481</v>
      </c>
      <c r="V409" s="24">
        <f ca="1">IF(AND($B$10&lt;55,B409&lt;59.5),MIN(U409,MAX(0,(Y409+AA409+AJ409-G409)*'Retirement Planning'!$J$45)),IF(B409&lt;59.5,(MIN(U409,MAX(0,((Y409+AA409+AJ409)-G409-M409)*'Retirement Planning'!$J$45))),MIN(U409,MAX(0,(Y409+AA409+AJ409-G409-M409-K409-X409)*'Retirement Planning'!$J$45))))</f>
        <v>1855.2205615741307</v>
      </c>
      <c r="W409" s="7">
        <f t="shared" ca="1" si="175"/>
        <v>4444147.1627146145</v>
      </c>
      <c r="X409" s="7">
        <f>(IF(B409&gt;'Retirement Planning'!$J$34,IF('Retirement Planning'!$J$34=70,'Retirement Planning'!$J$37/12,IF('Retirement Planning'!$J$34=67,'Retirement Planning'!$J$36/12,'Retirement Planning'!$J$35/12)),0))*'Retirement Planning'!$J$38</f>
        <v>1213.6000000000001</v>
      </c>
      <c r="Y409" s="7">
        <f ca="1">'Retirement Planning'!$F$35*((1+'Retirement Planning'!$J$24)^(YEAR('Projected Retirement Drawdown'!C409)-YEAR(TODAY())))</f>
        <v>16155.73652954028</v>
      </c>
      <c r="Z409" s="7">
        <f ca="1">G409+M409+O409+0.85*X409+V409*'Retirement Planning'!$J$46+T409</f>
        <v>18032.023012241589</v>
      </c>
      <c r="AA409" s="7">
        <f ca="1">IF(MONTH(C409)=1,(((MIN(MAX(0,((SUM(Z397:Z408)-'Retirement Planning'!$I$53-'Retirement Planning'!$I$54)-'Retirement Planning'!$J$51)*'Retirement Planning'!$I$52))))+(MIN(MAX(0,((SUM(Z397:Z408)-'Retirement Planning'!$I$53-'Retirement Planning'!$I$54)-'Retirement Planning'!$J$50)*'Retirement Planning'!$I$51),('Retirement Planning'!$J$51-'Retirement Planning'!$J$50)*'Retirement Planning'!$I$51))+(MIN(MAX(0,((SUM(Z397:Z408)-'Retirement Planning'!$I$53-'Retirement Planning'!$I$54)-'Retirement Planning'!$J$49)*'Retirement Planning'!$I$50),('Retirement Planning'!$J$50-'Retirement Planning'!$J$49)*'Retirement Planning'!$I$50)+MIN(MAX(0,((SUM(Z397:Z408)-'Retirement Planning'!$I$53-'Retirement Planning'!$I$54)-'Retirement Planning'!$J$48)*'Retirement Planning'!$I$49),('Retirement Planning'!$J$49-'Retirement Planning'!$J$48)*'Retirement Planning'!$I$49)+MIN(((SUM(Z397:Z408)-'Retirement Planning'!$I$53-'Retirement Planning'!$I$54))*'Retirement Planning'!$I$48,('Retirement Planning'!$J$48)*'Retirement Planning'!$I$48))+(IF((SUM(Z397:Z408)-'Retirement Planning'!$I$54-'Retirement Planning'!$I$61)&gt;'Retirement Planning'!$J$59,(SUM(Z397:Z408)-'Retirement Planning'!$I$54-'Retirement Planning'!$I$61-'Retirement Planning'!$J$59)*'Retirement Planning'!$I$60+'Retirement Planning'!$K$59,IF((SUM(Z397:Z408)-'Retirement Planning'!$I$54-'Retirement Planning'!$I$61)&gt;'Retirement Planning'!$J$58,(SUM(Z397:Z408)-'Retirement Planning'!$I$54-'Retirement Planning'!$I$61-'Retirement Planning'!$J$58)*'Retirement Planning'!$I$59+'Retirement Planning'!$K$58,IF((SUM(Z397:Z408)-'Retirement Planning'!$I$54-'Retirement Planning'!$I$61)&gt;'Retirement Planning'!$J$57,(SUM(Z397:Z408)-'Retirement Planning'!$I$54-'Retirement Planning'!$I$61-'Retirement Planning'!$J$57)*'Retirement Planning'!$I$58+'Retirement Planning'!$K$57,IF((SUM(Z397:Z408)-'Retirement Planning'!$I$54-'Retirement Planning'!$I$61)&gt;'Retirement Planning'!$J$56,(SUM(Z397:Z408)-'Retirement Planning'!$I$54-'Retirement Planning'!$I$61-'Retirement Planning'!$J$56)*'Retirement Planning'!$I$57+'Retirement Planning'!$K$56,(SUM(Z397:Z408)-'Retirement Planning'!$I$54-'Retirement Planning'!$I$61)*'Retirement Planning'!$I$56))))))/12,AA408)</f>
        <v>4754.3766845039454</v>
      </c>
      <c r="AB409" s="104">
        <f t="shared" ca="1" si="164"/>
        <v>0.27384069330055172</v>
      </c>
      <c r="AC409" s="7">
        <f>IF(B409&lt;65,'Retirement Planning'!$J$28,0)</f>
        <v>0</v>
      </c>
      <c r="AD409" s="7">
        <f>IF(B409&lt;65,'Retirement Planning'!$J$29/12,0)</f>
        <v>0</v>
      </c>
      <c r="AE409" s="22">
        <f>'Retirement Planning'!$J$31/12</f>
        <v>58.333333333333336</v>
      </c>
      <c r="AF409" s="22">
        <f>'Retirement Planning'!$J$32/12</f>
        <v>66.666666666666671</v>
      </c>
      <c r="AG409" s="7">
        <f>IF($B409&gt;64.9,'Retirement Planning'!$J$39/12,0)</f>
        <v>183.33333333333334</v>
      </c>
      <c r="AH409" s="7">
        <f>IF($B409&gt;64.9,'Retirement Planning'!$J$40/12,0)</f>
        <v>258.33333333333331</v>
      </c>
      <c r="AI409" s="7">
        <f>IF($B409&gt;64.9,'Retirement Planning'!$J$41/12,0)</f>
        <v>558.33333333333337</v>
      </c>
      <c r="AJ409" s="7">
        <f t="shared" ca="1" si="176"/>
        <v>316.66666666666663</v>
      </c>
      <c r="AK409" s="3" t="str">
        <f t="shared" ca="1" si="162"/>
        <v>N/A</v>
      </c>
      <c r="AL409" s="6" t="str">
        <f t="shared" ca="1" si="163"/>
        <v>N/A</v>
      </c>
      <c r="AM409" s="7">
        <f t="shared" ca="1" si="177"/>
        <v>1.1368683772161603E-12</v>
      </c>
      <c r="AN409" s="7">
        <f t="shared" ca="1" si="178"/>
        <v>22035.113214044224</v>
      </c>
      <c r="AO409" s="7">
        <f t="shared" si="179"/>
        <v>1125</v>
      </c>
    </row>
    <row r="410" spans="1:41" x14ac:dyDescent="0.2">
      <c r="A410">
        <f t="shared" si="180"/>
        <v>50</v>
      </c>
      <c r="B410" s="5">
        <f t="shared" si="181"/>
        <v>89.6</v>
      </c>
      <c r="C410" s="56">
        <f t="shared" si="182"/>
        <v>58593</v>
      </c>
      <c r="D410" s="57">
        <f ca="1">IF(AND(B409&lt;59.5,OR(B410&gt;59.5,B410=59.5)),(D409-E409+J409-K409)*(1+'Retirement Planning'!$J$23/12),(D409-E409)*(1+'Retirement Planning'!$J$23/12))</f>
        <v>1097543.6210250263</v>
      </c>
      <c r="E410" s="58">
        <f t="shared" ca="1" si="171"/>
        <v>2177.8676157609389</v>
      </c>
      <c r="F410" s="57">
        <f ca="1">IF(AND(OR(B410&gt;59.5,B410=59.5),B409&lt;59.5),(F409-G409+L409-M409+N409-O409)*(1+'Retirement Planning'!$J$23/12),(F409-G409)*(1+'Retirement Planning'!$J$23/12))</f>
        <v>866849.46056163812</v>
      </c>
      <c r="G410" s="58">
        <f ca="1">IF(AND($B$10&lt;55,B410&lt;59.5),'Retirement Planning'!$J$25,IF(OR(B410&gt;59.5,B410=59.5),MAX(0,MIN(F410,IF(D410&lt;2500,((Y410+AJ410+AA410))-X410,((Y410+AJ410+AA410)*'Retirement Planning'!$J$44)-X410))),0))</f>
        <v>15980.091703375825</v>
      </c>
      <c r="H410" s="255">
        <f ca="1">IF(MONTH(C410)=1,IF(B410&gt;69.5,F410/(INDEX('Retirement Planning'!D$1:D$264,(160+INT(B410))))/12,0),IF(F410=0,0,H409))</f>
        <v>12110.776180787645</v>
      </c>
      <c r="I410" s="262">
        <f t="shared" ca="1" si="172"/>
        <v>0</v>
      </c>
      <c r="J410" s="254">
        <f ca="1">IF(AND(B409&lt;59.5,OR(B410=59.5,B410&gt;59.5)),0,(J409-K409)*(1+'Retirement Planning'!$J$23/12))</f>
        <v>0</v>
      </c>
      <c r="K410" s="58">
        <f t="shared" ca="1" si="173"/>
        <v>0</v>
      </c>
      <c r="L410" s="57">
        <f>IF(AND(OR(B410&gt;59.5,B410=59.5),B409&lt;59.5),0,(L409-M409)*(1+'Retirement Planning'!$J$23/12))</f>
        <v>0</v>
      </c>
      <c r="M410" s="59">
        <f>IF(AND($B$10&lt;55,B410&lt;59.5),0,IF(B410&lt;59.5,MAX(0,MIN((($Y410+$AJ410+AA410)*'Retirement Planning'!$J$44)-$G410-$X410,L410)),0))</f>
        <v>0</v>
      </c>
      <c r="N410" s="57">
        <f ca="1">(N409-O409)*(1+'Retirement Planning'!$J$23/12)</f>
        <v>0</v>
      </c>
      <c r="O410" s="59">
        <f ca="1">IF(B410&gt;59.5,MAX(0,MIN((AA410+$Y410+$AJ410)*(IF(D410&lt;(MIN(E398:E409)+1),1,'Retirement Planning'!$J$44))-M410-$G410-$X410-(IF(D410&lt;(MIN(E398:E409)+1),D410,0)),N410)),0)</f>
        <v>0</v>
      </c>
      <c r="P410" s="57">
        <f t="shared" si="183"/>
        <v>0</v>
      </c>
      <c r="Q410" s="58">
        <f t="shared" si="184"/>
        <v>0</v>
      </c>
      <c r="R410" s="57">
        <f ca="1">(R409-S409-T409)*(1+'Retirement Planning'!$J$23/12)</f>
        <v>1597177.0336915972</v>
      </c>
      <c r="S410" s="58">
        <f t="shared" ca="1" si="185"/>
        <v>808.33333333333337</v>
      </c>
      <c r="T410" s="273">
        <f t="shared" ca="1" si="174"/>
        <v>-5.9117155615240335E-12</v>
      </c>
      <c r="U410" s="57">
        <f ca="1">(U409-V409)*(1+'Retirement Planning'!$J$23/12)</f>
        <v>893087.42423960473</v>
      </c>
      <c r="V410" s="24">
        <f ca="1">IF(AND($B$10&lt;55,B410&lt;59.5),MIN(U410,MAX(0,(Y410+AA410+AJ410-G410)*'Retirement Planning'!$J$45)),IF(B410&lt;59.5,(MIN(U410,MAX(0,((Y410+AA410+AJ410)-G410-M410)*'Retirement Planning'!$J$45))),MIN(U410,MAX(0,(Y410+AA410+AJ410-G410-M410-K410-X410)*'Retirement Planning'!$J$45))))</f>
        <v>1855.2205615741307</v>
      </c>
      <c r="W410" s="7">
        <f t="shared" ca="1" si="175"/>
        <v>4454657.5395178664</v>
      </c>
      <c r="X410" s="7">
        <f>(IF(B410&gt;'Retirement Planning'!$J$34,IF('Retirement Planning'!$J$34=70,'Retirement Planning'!$J$37/12,IF('Retirement Planning'!$J$34=67,'Retirement Planning'!$J$36/12,'Retirement Planning'!$J$35/12)),0))*'Retirement Planning'!$J$38</f>
        <v>1213.6000000000001</v>
      </c>
      <c r="Y410" s="7">
        <f ca="1">'Retirement Planning'!$F$35*((1+'Retirement Planning'!$J$24)^(YEAR('Projected Retirement Drawdown'!C410)-YEAR(TODAY())))</f>
        <v>16155.73652954028</v>
      </c>
      <c r="Z410" s="7">
        <f ca="1">G410+M410+O410+0.85*X410+V410*'Retirement Planning'!$J$46+T410</f>
        <v>18032.023012241589</v>
      </c>
      <c r="AA410" s="7">
        <f ca="1">IF(MONTH(C410)=1,(((MIN(MAX(0,((SUM(Z398:Z409)-'Retirement Planning'!$I$53-'Retirement Planning'!$I$54)-'Retirement Planning'!$J$51)*'Retirement Planning'!$I$52))))+(MIN(MAX(0,((SUM(Z398:Z409)-'Retirement Planning'!$I$53-'Retirement Planning'!$I$54)-'Retirement Planning'!$J$50)*'Retirement Planning'!$I$51),('Retirement Planning'!$J$51-'Retirement Planning'!$J$50)*'Retirement Planning'!$I$51))+(MIN(MAX(0,((SUM(Z398:Z409)-'Retirement Planning'!$I$53-'Retirement Planning'!$I$54)-'Retirement Planning'!$J$49)*'Retirement Planning'!$I$50),('Retirement Planning'!$J$50-'Retirement Planning'!$J$49)*'Retirement Planning'!$I$50)+MIN(MAX(0,((SUM(Z398:Z409)-'Retirement Planning'!$I$53-'Retirement Planning'!$I$54)-'Retirement Planning'!$J$48)*'Retirement Planning'!$I$49),('Retirement Planning'!$J$49-'Retirement Planning'!$J$48)*'Retirement Planning'!$I$49)+MIN(((SUM(Z398:Z409)-'Retirement Planning'!$I$53-'Retirement Planning'!$I$54))*'Retirement Planning'!$I$48,('Retirement Planning'!$J$48)*'Retirement Planning'!$I$48))+(IF((SUM(Z398:Z409)-'Retirement Planning'!$I$54-'Retirement Planning'!$I$61)&gt;'Retirement Planning'!$J$59,(SUM(Z398:Z409)-'Retirement Planning'!$I$54-'Retirement Planning'!$I$61-'Retirement Planning'!$J$59)*'Retirement Planning'!$I$60+'Retirement Planning'!$K$59,IF((SUM(Z398:Z409)-'Retirement Planning'!$I$54-'Retirement Planning'!$I$61)&gt;'Retirement Planning'!$J$58,(SUM(Z398:Z409)-'Retirement Planning'!$I$54-'Retirement Planning'!$I$61-'Retirement Planning'!$J$58)*'Retirement Planning'!$I$59+'Retirement Planning'!$K$58,IF((SUM(Z398:Z409)-'Retirement Planning'!$I$54-'Retirement Planning'!$I$61)&gt;'Retirement Planning'!$J$57,(SUM(Z398:Z409)-'Retirement Planning'!$I$54-'Retirement Planning'!$I$61-'Retirement Planning'!$J$57)*'Retirement Planning'!$I$58+'Retirement Planning'!$K$57,IF((SUM(Z398:Z409)-'Retirement Planning'!$I$54-'Retirement Planning'!$I$61)&gt;'Retirement Planning'!$J$56,(SUM(Z398:Z409)-'Retirement Planning'!$I$54-'Retirement Planning'!$I$61-'Retirement Planning'!$J$56)*'Retirement Planning'!$I$57+'Retirement Planning'!$K$56,(SUM(Z398:Z409)-'Retirement Planning'!$I$54-'Retirement Planning'!$I$61)*'Retirement Planning'!$I$56))))))/12,AA409)</f>
        <v>4754.3766845039454</v>
      </c>
      <c r="AB410" s="104">
        <f t="shared" ca="1" si="164"/>
        <v>0.27384069330055172</v>
      </c>
      <c r="AC410" s="7">
        <f>IF(B410&lt;65,'Retirement Planning'!$J$28,0)</f>
        <v>0</v>
      </c>
      <c r="AD410" s="7">
        <f>IF(B410&lt;65,'Retirement Planning'!$J$29/12,0)</f>
        <v>0</v>
      </c>
      <c r="AE410" s="22">
        <f>'Retirement Planning'!$J$31/12</f>
        <v>58.333333333333336</v>
      </c>
      <c r="AF410" s="22">
        <f>'Retirement Planning'!$J$32/12</f>
        <v>66.666666666666671</v>
      </c>
      <c r="AG410" s="7">
        <f>IF($B410&gt;64.9,'Retirement Planning'!$J$39/12,0)</f>
        <v>183.33333333333334</v>
      </c>
      <c r="AH410" s="7">
        <f>IF($B410&gt;64.9,'Retirement Planning'!$J$40/12,0)</f>
        <v>258.33333333333331</v>
      </c>
      <c r="AI410" s="7">
        <f>IF($B410&gt;64.9,'Retirement Planning'!$J$41/12,0)</f>
        <v>558.33333333333337</v>
      </c>
      <c r="AJ410" s="7">
        <f t="shared" ca="1" si="176"/>
        <v>316.66666666666663</v>
      </c>
      <c r="AK410" s="3" t="str">
        <f t="shared" ca="1" si="162"/>
        <v>N/A</v>
      </c>
      <c r="AL410" s="6" t="str">
        <f t="shared" ca="1" si="163"/>
        <v>N/A</v>
      </c>
      <c r="AM410" s="7">
        <f t="shared" ca="1" si="177"/>
        <v>1.1368683772161603E-12</v>
      </c>
      <c r="AN410" s="7">
        <f t="shared" ca="1" si="178"/>
        <v>22035.113214044224</v>
      </c>
      <c r="AO410" s="7">
        <f t="shared" si="179"/>
        <v>1125</v>
      </c>
    </row>
    <row r="411" spans="1:41" x14ac:dyDescent="0.2">
      <c r="A411">
        <f t="shared" si="180"/>
        <v>50</v>
      </c>
      <c r="B411" s="5">
        <f t="shared" si="181"/>
        <v>89.7</v>
      </c>
      <c r="C411" s="56">
        <f t="shared" si="182"/>
        <v>58623</v>
      </c>
      <c r="D411" s="57">
        <f ca="1">IF(AND(B410&lt;59.5,OR(B411&gt;59.5,B411=59.5)),(D410-E410+J410-K410)*(1+'Retirement Planning'!$J$23/12),(D410-E410)*(1+'Retirement Planning'!$J$23/12))</f>
        <v>1103124.594162581</v>
      </c>
      <c r="E411" s="58">
        <f t="shared" ca="1" si="171"/>
        <v>2177.8676157609389</v>
      </c>
      <c r="F411" s="57">
        <f ca="1">IF(AND(OR(B411&gt;59.5,B411=59.5),B410&lt;59.5),(F410-G410+L410-M410+N410-O410)*(1+'Retirement Planning'!$J$23/12),(F410-G410)*(1+'Retirement Planning'!$J$23/12))</f>
        <v>856896.3602210083</v>
      </c>
      <c r="G411" s="58">
        <f ca="1">IF(AND($B$10&lt;55,B411&lt;59.5),'Retirement Planning'!$J$25,IF(OR(B411&gt;59.5,B411=59.5),MAX(0,MIN(F411,IF(D411&lt;2500,((Y411+AJ411+AA411))-X411,((Y411+AJ411+AA411)*'Retirement Planning'!$J$44)-X411))),0))</f>
        <v>15980.091703375825</v>
      </c>
      <c r="H411" s="255">
        <f ca="1">IF(MONTH(C411)=1,IF(B411&gt;69.5,F411/(INDEX('Retirement Planning'!D$1:D$264,(160+INT(B411))))/12,0),IF(F411=0,0,H410))</f>
        <v>12110.776180787645</v>
      </c>
      <c r="I411" s="262">
        <f t="shared" ca="1" si="172"/>
        <v>0</v>
      </c>
      <c r="J411" s="254">
        <f ca="1">IF(AND(B410&lt;59.5,OR(B411=59.5,B411&gt;59.5)),0,(J410-K410)*(1+'Retirement Planning'!$J$23/12))</f>
        <v>0</v>
      </c>
      <c r="K411" s="58">
        <f t="shared" ca="1" si="173"/>
        <v>0</v>
      </c>
      <c r="L411" s="57">
        <f>IF(AND(OR(B411&gt;59.5,B411=59.5),B410&lt;59.5),0,(L410-M410)*(1+'Retirement Planning'!$J$23/12))</f>
        <v>0</v>
      </c>
      <c r="M411" s="59">
        <f>IF(AND($B$10&lt;55,B411&lt;59.5),0,IF(B411&lt;59.5,MAX(0,MIN((($Y411+$AJ411+AA411)*'Retirement Planning'!$J$44)-$G411-$X411,L411)),0))</f>
        <v>0</v>
      </c>
      <c r="N411" s="57">
        <f ca="1">(N410-O410)*(1+'Retirement Planning'!$J$23/12)</f>
        <v>0</v>
      </c>
      <c r="O411" s="59">
        <f ca="1">IF(B411&gt;59.5,MAX(0,MIN((AA411+$Y411+$AJ411)*(IF(D411&lt;(MIN(E399:E410)+1),1,'Retirement Planning'!$J$44))-M411-$G411-$X411-(IF(D411&lt;(MIN(E399:E410)+1),D411,0)),N411)),0)</f>
        <v>0</v>
      </c>
      <c r="P411" s="57">
        <f t="shared" si="183"/>
        <v>0</v>
      </c>
      <c r="Q411" s="58">
        <f t="shared" si="184"/>
        <v>0</v>
      </c>
      <c r="R411" s="57">
        <f ca="1">(R410-S410-T410)*(1+'Retirement Planning'!$J$23/12)</f>
        <v>1607676.3119858017</v>
      </c>
      <c r="S411" s="58">
        <f t="shared" ca="1" si="185"/>
        <v>808.33333333333337</v>
      </c>
      <c r="T411" s="273">
        <f t="shared" ca="1" si="174"/>
        <v>-5.9117155615240335E-12</v>
      </c>
      <c r="U411" s="57">
        <f ca="1">(U410-V410)*(1+'Retirement Planning'!$J$23/12)</f>
        <v>897545.09845408332</v>
      </c>
      <c r="V411" s="24">
        <f ca="1">IF(AND($B$10&lt;55,B411&lt;59.5),MIN(U411,MAX(0,(Y411+AA411+AJ411-G411)*'Retirement Planning'!$J$45)),IF(B411&lt;59.5,(MIN(U411,MAX(0,((Y411+AA411+AJ411)-G411-M411)*'Retirement Planning'!$J$45))),MIN(U411,MAX(0,(Y411+AA411+AJ411-G411-M411-K411-X411)*'Retirement Planning'!$J$45))))</f>
        <v>1855.2205615741307</v>
      </c>
      <c r="W411" s="7">
        <f t="shared" ca="1" si="175"/>
        <v>4465242.3648234745</v>
      </c>
      <c r="X411" s="7">
        <f>(IF(B411&gt;'Retirement Planning'!$J$34,IF('Retirement Planning'!$J$34=70,'Retirement Planning'!$J$37/12,IF('Retirement Planning'!$J$34=67,'Retirement Planning'!$J$36/12,'Retirement Planning'!$J$35/12)),0))*'Retirement Planning'!$J$38</f>
        <v>1213.6000000000001</v>
      </c>
      <c r="Y411" s="7">
        <f ca="1">'Retirement Planning'!$F$35*((1+'Retirement Planning'!$J$24)^(YEAR('Projected Retirement Drawdown'!C411)-YEAR(TODAY())))</f>
        <v>16155.73652954028</v>
      </c>
      <c r="Z411" s="7">
        <f ca="1">G411+M411+O411+0.85*X411+V411*'Retirement Planning'!$J$46+T411</f>
        <v>18032.023012241589</v>
      </c>
      <c r="AA411" s="7">
        <f ca="1">IF(MONTH(C411)=1,(((MIN(MAX(0,((SUM(Z399:Z410)-'Retirement Planning'!$I$53-'Retirement Planning'!$I$54)-'Retirement Planning'!$J$51)*'Retirement Planning'!$I$52))))+(MIN(MAX(0,((SUM(Z399:Z410)-'Retirement Planning'!$I$53-'Retirement Planning'!$I$54)-'Retirement Planning'!$J$50)*'Retirement Planning'!$I$51),('Retirement Planning'!$J$51-'Retirement Planning'!$J$50)*'Retirement Planning'!$I$51))+(MIN(MAX(0,((SUM(Z399:Z410)-'Retirement Planning'!$I$53-'Retirement Planning'!$I$54)-'Retirement Planning'!$J$49)*'Retirement Planning'!$I$50),('Retirement Planning'!$J$50-'Retirement Planning'!$J$49)*'Retirement Planning'!$I$50)+MIN(MAX(0,((SUM(Z399:Z410)-'Retirement Planning'!$I$53-'Retirement Planning'!$I$54)-'Retirement Planning'!$J$48)*'Retirement Planning'!$I$49),('Retirement Planning'!$J$49-'Retirement Planning'!$J$48)*'Retirement Planning'!$I$49)+MIN(((SUM(Z399:Z410)-'Retirement Planning'!$I$53-'Retirement Planning'!$I$54))*'Retirement Planning'!$I$48,('Retirement Planning'!$J$48)*'Retirement Planning'!$I$48))+(IF((SUM(Z399:Z410)-'Retirement Planning'!$I$54-'Retirement Planning'!$I$61)&gt;'Retirement Planning'!$J$59,(SUM(Z399:Z410)-'Retirement Planning'!$I$54-'Retirement Planning'!$I$61-'Retirement Planning'!$J$59)*'Retirement Planning'!$I$60+'Retirement Planning'!$K$59,IF((SUM(Z399:Z410)-'Retirement Planning'!$I$54-'Retirement Planning'!$I$61)&gt;'Retirement Planning'!$J$58,(SUM(Z399:Z410)-'Retirement Planning'!$I$54-'Retirement Planning'!$I$61-'Retirement Planning'!$J$58)*'Retirement Planning'!$I$59+'Retirement Planning'!$K$58,IF((SUM(Z399:Z410)-'Retirement Planning'!$I$54-'Retirement Planning'!$I$61)&gt;'Retirement Planning'!$J$57,(SUM(Z399:Z410)-'Retirement Planning'!$I$54-'Retirement Planning'!$I$61-'Retirement Planning'!$J$57)*'Retirement Planning'!$I$58+'Retirement Planning'!$K$57,IF((SUM(Z399:Z410)-'Retirement Planning'!$I$54-'Retirement Planning'!$I$61)&gt;'Retirement Planning'!$J$56,(SUM(Z399:Z410)-'Retirement Planning'!$I$54-'Retirement Planning'!$I$61-'Retirement Planning'!$J$56)*'Retirement Planning'!$I$57+'Retirement Planning'!$K$56,(SUM(Z399:Z410)-'Retirement Planning'!$I$54-'Retirement Planning'!$I$61)*'Retirement Planning'!$I$56))))))/12,AA410)</f>
        <v>4754.3766845039454</v>
      </c>
      <c r="AB411" s="104">
        <f t="shared" ca="1" si="164"/>
        <v>0.27384069330055172</v>
      </c>
      <c r="AC411" s="7">
        <f>IF(B411&lt;65,'Retirement Planning'!$J$28,0)</f>
        <v>0</v>
      </c>
      <c r="AD411" s="7">
        <f>IF(B411&lt;65,'Retirement Planning'!$J$29/12,0)</f>
        <v>0</v>
      </c>
      <c r="AE411" s="22">
        <f>'Retirement Planning'!$J$31/12</f>
        <v>58.333333333333336</v>
      </c>
      <c r="AF411" s="22">
        <f>'Retirement Planning'!$J$32/12</f>
        <v>66.666666666666671</v>
      </c>
      <c r="AG411" s="7">
        <f>IF($B411&gt;64.9,'Retirement Planning'!$J$39/12,0)</f>
        <v>183.33333333333334</v>
      </c>
      <c r="AH411" s="7">
        <f>IF($B411&gt;64.9,'Retirement Planning'!$J$40/12,0)</f>
        <v>258.33333333333331</v>
      </c>
      <c r="AI411" s="7">
        <f>IF($B411&gt;64.9,'Retirement Planning'!$J$41/12,0)</f>
        <v>558.33333333333337</v>
      </c>
      <c r="AJ411" s="7">
        <f t="shared" ca="1" si="176"/>
        <v>316.66666666666663</v>
      </c>
      <c r="AK411" s="3" t="str">
        <f t="shared" ca="1" si="162"/>
        <v>N/A</v>
      </c>
      <c r="AL411" s="6" t="str">
        <f t="shared" ca="1" si="163"/>
        <v>N/A</v>
      </c>
      <c r="AM411" s="7">
        <f t="shared" ca="1" si="177"/>
        <v>1.1368683772161603E-12</v>
      </c>
      <c r="AN411" s="7">
        <f t="shared" ca="1" si="178"/>
        <v>22035.113214044224</v>
      </c>
      <c r="AO411" s="7">
        <f t="shared" si="179"/>
        <v>1125</v>
      </c>
    </row>
    <row r="412" spans="1:41" x14ac:dyDescent="0.2">
      <c r="A412">
        <f t="shared" si="180"/>
        <v>50</v>
      </c>
      <c r="B412" s="5">
        <f t="shared" si="181"/>
        <v>89.8</v>
      </c>
      <c r="C412" s="56">
        <f t="shared" si="182"/>
        <v>58654</v>
      </c>
      <c r="D412" s="57">
        <f ca="1">IF(AND(B411&lt;59.5,OR(B412&gt;59.5,B412=59.5)),(D411-E411+J411-K411)*(1+'Retirement Planning'!$J$23/12),(D411-E411)*(1+'Retirement Planning'!$J$23/12))</f>
        <v>1108745.0991931933</v>
      </c>
      <c r="E412" s="58">
        <f t="shared" ca="1" si="171"/>
        <v>2177.8676157609389</v>
      </c>
      <c r="F412" s="57">
        <f ca="1">IF(AND(OR(B412&gt;59.5,B412=59.5),B411&lt;59.5),(F411-G411+L411-M411+N411-O411)*(1+'Retirement Planning'!$J$23/12),(F411-G411)*(1+'Retirement Planning'!$J$23/12))</f>
        <v>846872.75875296572</v>
      </c>
      <c r="G412" s="58">
        <f ca="1">IF(AND($B$10&lt;55,B412&lt;59.5),'Retirement Planning'!$J$25,IF(OR(B412&gt;59.5,B412=59.5),MAX(0,MIN(F412,IF(D412&lt;2500,((Y412+AJ412+AA412))-X412,((Y412+AJ412+AA412)*'Retirement Planning'!$J$44)-X412))),0))</f>
        <v>15980.091703375825</v>
      </c>
      <c r="H412" s="255">
        <f ca="1">IF(MONTH(C412)=1,IF(B412&gt;69.5,F412/(INDEX('Retirement Planning'!D$1:D$264,(160+INT(B412))))/12,0),IF(F412=0,0,H411))</f>
        <v>12110.776180787645</v>
      </c>
      <c r="I412" s="262">
        <f t="shared" ca="1" si="172"/>
        <v>0</v>
      </c>
      <c r="J412" s="254">
        <f ca="1">IF(AND(B411&lt;59.5,OR(B412=59.5,B412&gt;59.5)),0,(J411-K411)*(1+'Retirement Planning'!$J$23/12))</f>
        <v>0</v>
      </c>
      <c r="K412" s="58">
        <f t="shared" ca="1" si="173"/>
        <v>0</v>
      </c>
      <c r="L412" s="57">
        <f>IF(AND(OR(B412&gt;59.5,B412=59.5),B411&lt;59.5),0,(L411-M411)*(1+'Retirement Planning'!$J$23/12))</f>
        <v>0</v>
      </c>
      <c r="M412" s="59">
        <f>IF(AND($B$10&lt;55,B412&lt;59.5),0,IF(B412&lt;59.5,MAX(0,MIN((($Y412+$AJ412+AA412)*'Retirement Planning'!$J$44)-$G412-$X412,L412)),0))</f>
        <v>0</v>
      </c>
      <c r="N412" s="57">
        <f ca="1">(N411-O411)*(1+'Retirement Planning'!$J$23/12)</f>
        <v>0</v>
      </c>
      <c r="O412" s="59">
        <f ca="1">IF(B412&gt;59.5,MAX(0,MIN((AA412+$Y412+$AJ412)*(IF(D412&lt;(MIN(E400:E411)+1),1,'Retirement Planning'!$J$44))-M412-$G412-$X412-(IF(D412&lt;(MIN(E400:E411)+1),D412,0)),N412)),0)</f>
        <v>0</v>
      </c>
      <c r="P412" s="57">
        <f t="shared" si="183"/>
        <v>0</v>
      </c>
      <c r="Q412" s="58">
        <f t="shared" si="184"/>
        <v>0</v>
      </c>
      <c r="R412" s="57">
        <f ca="1">(R411-S411-T411)*(1+'Retirement Planning'!$J$23/12)</f>
        <v>1618249.9601679235</v>
      </c>
      <c r="S412" s="58">
        <f t="shared" ca="1" si="185"/>
        <v>808.33333333333337</v>
      </c>
      <c r="T412" s="273">
        <f t="shared" ca="1" si="174"/>
        <v>-5.9117155615240335E-12</v>
      </c>
      <c r="U412" s="57">
        <f ca="1">(U411-V411)*(1+'Retirement Planning'!$J$23/12)</f>
        <v>902034.34786091454</v>
      </c>
      <c r="V412" s="24">
        <f ca="1">IF(AND($B$10&lt;55,B412&lt;59.5),MIN(U412,MAX(0,(Y412+AA412+AJ412-G412)*'Retirement Planning'!$J$45)),IF(B412&lt;59.5,(MIN(U412,MAX(0,((Y412+AA412+AJ412)-G412-M412)*'Retirement Planning'!$J$45))),MIN(U412,MAX(0,(Y412+AA412+AJ412-G412-M412-K412-X412)*'Retirement Planning'!$J$45))))</f>
        <v>1855.2205615741307</v>
      </c>
      <c r="W412" s="7">
        <f t="shared" ca="1" si="175"/>
        <v>4475902.165974997</v>
      </c>
      <c r="X412" s="7">
        <f>(IF(B412&gt;'Retirement Planning'!$J$34,IF('Retirement Planning'!$J$34=70,'Retirement Planning'!$J$37/12,IF('Retirement Planning'!$J$34=67,'Retirement Planning'!$J$36/12,'Retirement Planning'!$J$35/12)),0))*'Retirement Planning'!$J$38</f>
        <v>1213.6000000000001</v>
      </c>
      <c r="Y412" s="7">
        <f ca="1">'Retirement Planning'!$F$35*((1+'Retirement Planning'!$J$24)^(YEAR('Projected Retirement Drawdown'!C412)-YEAR(TODAY())))</f>
        <v>16155.73652954028</v>
      </c>
      <c r="Z412" s="7">
        <f ca="1">G412+M412+O412+0.85*X412+V412*'Retirement Planning'!$J$46+T412</f>
        <v>18032.023012241589</v>
      </c>
      <c r="AA412" s="7">
        <f ca="1">IF(MONTH(C412)=1,(((MIN(MAX(0,((SUM(Z400:Z411)-'Retirement Planning'!$I$53-'Retirement Planning'!$I$54)-'Retirement Planning'!$J$51)*'Retirement Planning'!$I$52))))+(MIN(MAX(0,((SUM(Z400:Z411)-'Retirement Planning'!$I$53-'Retirement Planning'!$I$54)-'Retirement Planning'!$J$50)*'Retirement Planning'!$I$51),('Retirement Planning'!$J$51-'Retirement Planning'!$J$50)*'Retirement Planning'!$I$51))+(MIN(MAX(0,((SUM(Z400:Z411)-'Retirement Planning'!$I$53-'Retirement Planning'!$I$54)-'Retirement Planning'!$J$49)*'Retirement Planning'!$I$50),('Retirement Planning'!$J$50-'Retirement Planning'!$J$49)*'Retirement Planning'!$I$50)+MIN(MAX(0,((SUM(Z400:Z411)-'Retirement Planning'!$I$53-'Retirement Planning'!$I$54)-'Retirement Planning'!$J$48)*'Retirement Planning'!$I$49),('Retirement Planning'!$J$49-'Retirement Planning'!$J$48)*'Retirement Planning'!$I$49)+MIN(((SUM(Z400:Z411)-'Retirement Planning'!$I$53-'Retirement Planning'!$I$54))*'Retirement Planning'!$I$48,('Retirement Planning'!$J$48)*'Retirement Planning'!$I$48))+(IF((SUM(Z400:Z411)-'Retirement Planning'!$I$54-'Retirement Planning'!$I$61)&gt;'Retirement Planning'!$J$59,(SUM(Z400:Z411)-'Retirement Planning'!$I$54-'Retirement Planning'!$I$61-'Retirement Planning'!$J$59)*'Retirement Planning'!$I$60+'Retirement Planning'!$K$59,IF((SUM(Z400:Z411)-'Retirement Planning'!$I$54-'Retirement Planning'!$I$61)&gt;'Retirement Planning'!$J$58,(SUM(Z400:Z411)-'Retirement Planning'!$I$54-'Retirement Planning'!$I$61-'Retirement Planning'!$J$58)*'Retirement Planning'!$I$59+'Retirement Planning'!$K$58,IF((SUM(Z400:Z411)-'Retirement Planning'!$I$54-'Retirement Planning'!$I$61)&gt;'Retirement Planning'!$J$57,(SUM(Z400:Z411)-'Retirement Planning'!$I$54-'Retirement Planning'!$I$61-'Retirement Planning'!$J$57)*'Retirement Planning'!$I$58+'Retirement Planning'!$K$57,IF((SUM(Z400:Z411)-'Retirement Planning'!$I$54-'Retirement Planning'!$I$61)&gt;'Retirement Planning'!$J$56,(SUM(Z400:Z411)-'Retirement Planning'!$I$54-'Retirement Planning'!$I$61-'Retirement Planning'!$J$56)*'Retirement Planning'!$I$57+'Retirement Planning'!$K$56,(SUM(Z400:Z411)-'Retirement Planning'!$I$54-'Retirement Planning'!$I$61)*'Retirement Planning'!$I$56))))))/12,AA411)</f>
        <v>4754.3766845039454</v>
      </c>
      <c r="AB412" s="104">
        <f t="shared" ca="1" si="164"/>
        <v>0.27384069330055172</v>
      </c>
      <c r="AC412" s="7">
        <f>IF(B412&lt;65,'Retirement Planning'!$J$28,0)</f>
        <v>0</v>
      </c>
      <c r="AD412" s="7">
        <f>IF(B412&lt;65,'Retirement Planning'!$J$29/12,0)</f>
        <v>0</v>
      </c>
      <c r="AE412" s="22">
        <f>'Retirement Planning'!$J$31/12</f>
        <v>58.333333333333336</v>
      </c>
      <c r="AF412" s="22">
        <f>'Retirement Planning'!$J$32/12</f>
        <v>66.666666666666671</v>
      </c>
      <c r="AG412" s="7">
        <f>IF($B412&gt;64.9,'Retirement Planning'!$J$39/12,0)</f>
        <v>183.33333333333334</v>
      </c>
      <c r="AH412" s="7">
        <f>IF($B412&gt;64.9,'Retirement Planning'!$J$40/12,0)</f>
        <v>258.33333333333331</v>
      </c>
      <c r="AI412" s="7">
        <f>IF($B412&gt;64.9,'Retirement Planning'!$J$41/12,0)</f>
        <v>558.33333333333337</v>
      </c>
      <c r="AJ412" s="7">
        <f t="shared" ca="1" si="176"/>
        <v>316.66666666666663</v>
      </c>
      <c r="AK412" s="3" t="str">
        <f t="shared" ca="1" si="162"/>
        <v>N/A</v>
      </c>
      <c r="AL412" s="6" t="str">
        <f t="shared" ca="1" si="163"/>
        <v>N/A</v>
      </c>
      <c r="AM412" s="7">
        <f t="shared" ca="1" si="177"/>
        <v>1.1368683772161603E-12</v>
      </c>
      <c r="AN412" s="7">
        <f t="shared" ca="1" si="178"/>
        <v>22035.113214044224</v>
      </c>
      <c r="AO412" s="7">
        <f t="shared" si="179"/>
        <v>1125</v>
      </c>
    </row>
    <row r="413" spans="1:41" x14ac:dyDescent="0.2">
      <c r="A413">
        <f t="shared" si="180"/>
        <v>50</v>
      </c>
      <c r="B413" s="5">
        <f t="shared" si="181"/>
        <v>89.9</v>
      </c>
      <c r="C413" s="56">
        <f t="shared" si="182"/>
        <v>58685</v>
      </c>
      <c r="D413" s="57">
        <f ca="1">IF(AND(B412&lt;59.5,OR(B413&gt;59.5,B413=59.5)),(D412-E412+J412-K412)*(1+'Retirement Planning'!$J$23/12),(D412-E412)*(1+'Retirement Planning'!$J$23/12))</f>
        <v>1114405.4161344389</v>
      </c>
      <c r="E413" s="58">
        <f t="shared" ca="1" si="171"/>
        <v>2177.8676157609389</v>
      </c>
      <c r="F413" s="57">
        <f ca="1">IF(AND(OR(B413&gt;59.5,B413=59.5),B412&lt;59.5),(F412-G412+L412-M412+N412-O412)*(1+'Retirement Planning'!$J$23/12),(F412-G412)*(1+'Retirement Planning'!$J$23/12))</f>
        <v>836778.15677452448</v>
      </c>
      <c r="G413" s="58">
        <f ca="1">IF(AND($B$10&lt;55,B413&lt;59.5),'Retirement Planning'!$J$25,IF(OR(B413&gt;59.5,B413=59.5),MAX(0,MIN(F413,IF(D413&lt;2500,((Y413+AJ413+AA413))-X413,((Y413+AJ413+AA413)*'Retirement Planning'!$J$44)-X413))),0))</f>
        <v>15980.091703375825</v>
      </c>
      <c r="H413" s="255">
        <f ca="1">IF(MONTH(C413)=1,IF(B413&gt;69.5,F413/(INDEX('Retirement Planning'!D$1:D$264,(160+INT(B413))))/12,0),IF(F413=0,0,H412))</f>
        <v>12110.776180787645</v>
      </c>
      <c r="I413" s="262">
        <f t="shared" ca="1" si="172"/>
        <v>0</v>
      </c>
      <c r="J413" s="254">
        <f ca="1">IF(AND(B412&lt;59.5,OR(B413=59.5,B413&gt;59.5)),0,(J412-K412)*(1+'Retirement Planning'!$J$23/12))</f>
        <v>0</v>
      </c>
      <c r="K413" s="58">
        <f t="shared" ca="1" si="173"/>
        <v>0</v>
      </c>
      <c r="L413" s="57">
        <f>IF(AND(OR(B413&gt;59.5,B413=59.5),B412&lt;59.5),0,(L412-M412)*(1+'Retirement Planning'!$J$23/12))</f>
        <v>0</v>
      </c>
      <c r="M413" s="59">
        <f>IF(AND($B$10&lt;55,B413&lt;59.5),0,IF(B413&lt;59.5,MAX(0,MIN((($Y413+$AJ413+AA413)*'Retirement Planning'!$J$44)-$G413-$X413,L413)),0))</f>
        <v>0</v>
      </c>
      <c r="N413" s="57">
        <f ca="1">(N412-O412)*(1+'Retirement Planning'!$J$23/12)</f>
        <v>0</v>
      </c>
      <c r="O413" s="59">
        <f ca="1">IF(B413&gt;59.5,MAX(0,MIN((AA413+$Y413+$AJ413)*(IF(D413&lt;(MIN(E401:E412)+1),1,'Retirement Planning'!$J$44))-M413-$G413-$X413-(IF(D413&lt;(MIN(E401:E412)+1),D413,0)),N413)),0)</f>
        <v>0</v>
      </c>
      <c r="P413" s="57">
        <f t="shared" si="183"/>
        <v>0</v>
      </c>
      <c r="Q413" s="58">
        <f t="shared" si="184"/>
        <v>0</v>
      </c>
      <c r="R413" s="57">
        <f ca="1">(R412-S412-T412)*(1+'Retirement Planning'!$J$23/12)</f>
        <v>1628898.5050246685</v>
      </c>
      <c r="S413" s="58">
        <f t="shared" ca="1" si="185"/>
        <v>808.33333333333337</v>
      </c>
      <c r="T413" s="273">
        <f t="shared" ca="1" si="174"/>
        <v>-5.9117155615240335E-12</v>
      </c>
      <c r="U413" s="57">
        <f ca="1">(U412-V412)*(1+'Retirement Planning'!$J$23/12)</f>
        <v>906555.39611771074</v>
      </c>
      <c r="V413" s="24">
        <f ca="1">IF(AND($B$10&lt;55,B413&lt;59.5),MIN(U413,MAX(0,(Y413+AA413+AJ413-G413)*'Retirement Planning'!$J$45)),IF(B413&lt;59.5,(MIN(U413,MAX(0,((Y413+AA413+AJ413)-G413-M413)*'Retirement Planning'!$J$45))),MIN(U413,MAX(0,(Y413+AA413+AJ413-G413-M413-K413-X413)*'Retirement Planning'!$J$45))))</f>
        <v>1855.2205615741307</v>
      </c>
      <c r="W413" s="7">
        <f t="shared" ca="1" si="175"/>
        <v>4486637.4740513423</v>
      </c>
      <c r="X413" s="7">
        <f>(IF(B413&gt;'Retirement Planning'!$J$34,IF('Retirement Planning'!$J$34=70,'Retirement Planning'!$J$37/12,IF('Retirement Planning'!$J$34=67,'Retirement Planning'!$J$36/12,'Retirement Planning'!$J$35/12)),0))*'Retirement Planning'!$J$38</f>
        <v>1213.6000000000001</v>
      </c>
      <c r="Y413" s="7">
        <f ca="1">'Retirement Planning'!$F$35*((1+'Retirement Planning'!$J$24)^(YEAR('Projected Retirement Drawdown'!C413)-YEAR(TODAY())))</f>
        <v>16155.73652954028</v>
      </c>
      <c r="Z413" s="7">
        <f ca="1">G413+M413+O413+0.85*X413+V413*'Retirement Planning'!$J$46+T413</f>
        <v>18032.023012241589</v>
      </c>
      <c r="AA413" s="7">
        <f ca="1">IF(MONTH(C413)=1,(((MIN(MAX(0,((SUM(Z401:Z412)-'Retirement Planning'!$I$53-'Retirement Planning'!$I$54)-'Retirement Planning'!$J$51)*'Retirement Planning'!$I$52))))+(MIN(MAX(0,((SUM(Z401:Z412)-'Retirement Planning'!$I$53-'Retirement Planning'!$I$54)-'Retirement Planning'!$J$50)*'Retirement Planning'!$I$51),('Retirement Planning'!$J$51-'Retirement Planning'!$J$50)*'Retirement Planning'!$I$51))+(MIN(MAX(0,((SUM(Z401:Z412)-'Retirement Planning'!$I$53-'Retirement Planning'!$I$54)-'Retirement Planning'!$J$49)*'Retirement Planning'!$I$50),('Retirement Planning'!$J$50-'Retirement Planning'!$J$49)*'Retirement Planning'!$I$50)+MIN(MAX(0,((SUM(Z401:Z412)-'Retirement Planning'!$I$53-'Retirement Planning'!$I$54)-'Retirement Planning'!$J$48)*'Retirement Planning'!$I$49),('Retirement Planning'!$J$49-'Retirement Planning'!$J$48)*'Retirement Planning'!$I$49)+MIN(((SUM(Z401:Z412)-'Retirement Planning'!$I$53-'Retirement Planning'!$I$54))*'Retirement Planning'!$I$48,('Retirement Planning'!$J$48)*'Retirement Planning'!$I$48))+(IF((SUM(Z401:Z412)-'Retirement Planning'!$I$54-'Retirement Planning'!$I$61)&gt;'Retirement Planning'!$J$59,(SUM(Z401:Z412)-'Retirement Planning'!$I$54-'Retirement Planning'!$I$61-'Retirement Planning'!$J$59)*'Retirement Planning'!$I$60+'Retirement Planning'!$K$59,IF((SUM(Z401:Z412)-'Retirement Planning'!$I$54-'Retirement Planning'!$I$61)&gt;'Retirement Planning'!$J$58,(SUM(Z401:Z412)-'Retirement Planning'!$I$54-'Retirement Planning'!$I$61-'Retirement Planning'!$J$58)*'Retirement Planning'!$I$59+'Retirement Planning'!$K$58,IF((SUM(Z401:Z412)-'Retirement Planning'!$I$54-'Retirement Planning'!$I$61)&gt;'Retirement Planning'!$J$57,(SUM(Z401:Z412)-'Retirement Planning'!$I$54-'Retirement Planning'!$I$61-'Retirement Planning'!$J$57)*'Retirement Planning'!$I$58+'Retirement Planning'!$K$57,IF((SUM(Z401:Z412)-'Retirement Planning'!$I$54-'Retirement Planning'!$I$61)&gt;'Retirement Planning'!$J$56,(SUM(Z401:Z412)-'Retirement Planning'!$I$54-'Retirement Planning'!$I$61-'Retirement Planning'!$J$56)*'Retirement Planning'!$I$57+'Retirement Planning'!$K$56,(SUM(Z401:Z412)-'Retirement Planning'!$I$54-'Retirement Planning'!$I$61)*'Retirement Planning'!$I$56))))))/12,AA412)</f>
        <v>4754.3766845039454</v>
      </c>
      <c r="AB413" s="104">
        <f t="shared" ca="1" si="164"/>
        <v>0.27384069330055172</v>
      </c>
      <c r="AC413" s="7">
        <f>IF(B413&lt;65,'Retirement Planning'!$J$28,0)</f>
        <v>0</v>
      </c>
      <c r="AD413" s="7">
        <f>IF(B413&lt;65,'Retirement Planning'!$J$29/12,0)</f>
        <v>0</v>
      </c>
      <c r="AE413" s="22">
        <f>'Retirement Planning'!$J$31/12</f>
        <v>58.333333333333336</v>
      </c>
      <c r="AF413" s="22">
        <f>'Retirement Planning'!$J$32/12</f>
        <v>66.666666666666671</v>
      </c>
      <c r="AG413" s="7">
        <f>IF($B413&gt;64.9,'Retirement Planning'!$J$39/12,0)</f>
        <v>183.33333333333334</v>
      </c>
      <c r="AH413" s="7">
        <f>IF($B413&gt;64.9,'Retirement Planning'!$J$40/12,0)</f>
        <v>258.33333333333331</v>
      </c>
      <c r="AI413" s="7">
        <f>IF($B413&gt;64.9,'Retirement Planning'!$J$41/12,0)</f>
        <v>558.33333333333337</v>
      </c>
      <c r="AJ413" s="7">
        <f t="shared" ca="1" si="176"/>
        <v>316.66666666666663</v>
      </c>
      <c r="AK413" s="3" t="str">
        <f t="shared" ca="1" si="162"/>
        <v>N/A</v>
      </c>
      <c r="AL413" s="6" t="str">
        <f t="shared" ca="1" si="163"/>
        <v>N/A</v>
      </c>
      <c r="AM413" s="7">
        <f t="shared" ca="1" si="177"/>
        <v>1.1368683772161603E-12</v>
      </c>
      <c r="AN413" s="7">
        <f t="shared" ca="1" si="178"/>
        <v>22035.113214044224</v>
      </c>
      <c r="AO413" s="7">
        <f t="shared" si="179"/>
        <v>1125</v>
      </c>
    </row>
    <row r="414" spans="1:41" x14ac:dyDescent="0.2">
      <c r="A414">
        <f t="shared" si="180"/>
        <v>50</v>
      </c>
      <c r="B414" s="5">
        <f t="shared" si="181"/>
        <v>90</v>
      </c>
      <c r="C414" s="56">
        <f t="shared" si="182"/>
        <v>58715</v>
      </c>
      <c r="D414" s="57">
        <f ca="1">IF(AND(B413&lt;59.5,OR(B414&gt;59.5,B414=59.5)),(D413-E413+J413-K413)*(1+'Retirement Planning'!$J$23/12),(D413-E413)*(1+'Retirement Planning'!$J$23/12))</f>
        <v>1120105.826987352</v>
      </c>
      <c r="E414" s="58">
        <f t="shared" ca="1" si="171"/>
        <v>2177.8676157609389</v>
      </c>
      <c r="F414" s="57">
        <f ca="1">IF(AND(OR(B414&gt;59.5,B414=59.5),B413&lt;59.5),(F413-G413+L413-M413+N413-O413)*(1+'Retirement Planning'!$J$23/12),(F413-G413)*(1+'Retirement Planning'!$J$23/12))</f>
        <v>826612.05136540264</v>
      </c>
      <c r="G414" s="58">
        <f ca="1">IF(AND($B$10&lt;55,B414&lt;59.5),'Retirement Planning'!$J$25,IF(OR(B414&gt;59.5,B414=59.5),MAX(0,MIN(F414,IF(D414&lt;2500,((Y414+AJ414+AA414))-X414,((Y414+AJ414+AA414)*'Retirement Planning'!$J$44)-X414))),0))</f>
        <v>15980.091703375825</v>
      </c>
      <c r="H414" s="255">
        <f ca="1">IF(MONTH(C414)=1,IF(B414&gt;69.5,F414/(INDEX('Retirement Planning'!D$1:D$264,(160+INT(B414))))/12,0),IF(F414=0,0,H413))</f>
        <v>12110.776180787645</v>
      </c>
      <c r="I414" s="262">
        <f t="shared" ca="1" si="172"/>
        <v>0</v>
      </c>
      <c r="J414" s="254">
        <f ca="1">IF(AND(B413&lt;59.5,OR(B414=59.5,B414&gt;59.5)),0,(J413-K413)*(1+'Retirement Planning'!$J$23/12))</f>
        <v>0</v>
      </c>
      <c r="K414" s="58">
        <f t="shared" ca="1" si="173"/>
        <v>0</v>
      </c>
      <c r="L414" s="57">
        <f>IF(AND(OR(B414&gt;59.5,B414=59.5),B413&lt;59.5),0,(L413-M413)*(1+'Retirement Planning'!$J$23/12))</f>
        <v>0</v>
      </c>
      <c r="M414" s="59">
        <f>IF(AND($B$10&lt;55,B414&lt;59.5),0,IF(B414&lt;59.5,MAX(0,MIN((($Y414+$AJ414+AA414)*'Retirement Planning'!$J$44)-$G414-$X414,L414)),0))</f>
        <v>0</v>
      </c>
      <c r="N414" s="57">
        <f ca="1">(N413-O413)*(1+'Retirement Planning'!$J$23/12)</f>
        <v>0</v>
      </c>
      <c r="O414" s="59">
        <f ca="1">IF(B414&gt;59.5,MAX(0,MIN((AA414+$Y414+$AJ414)*(IF(D414&lt;(MIN(E402:E413)+1),1,'Retirement Planning'!$J$44))-M414-$G414-$X414-(IF(D414&lt;(MIN(E402:E413)+1),D414,0)),N414)),0)</f>
        <v>0</v>
      </c>
      <c r="P414" s="57">
        <f t="shared" si="183"/>
        <v>0</v>
      </c>
      <c r="Q414" s="58">
        <f t="shared" si="184"/>
        <v>0</v>
      </c>
      <c r="R414" s="57">
        <f ca="1">(R413-S413-T413)*(1+'Retirement Planning'!$J$23/12)</f>
        <v>1639622.4770741488</v>
      </c>
      <c r="S414" s="58">
        <f t="shared" ca="1" si="185"/>
        <v>808.33333333333337</v>
      </c>
      <c r="T414" s="273">
        <f t="shared" ca="1" si="174"/>
        <v>-5.9117155615240335E-12</v>
      </c>
      <c r="U414" s="57">
        <f ca="1">(U413-V413)*(1+'Retirement Planning'!$J$23/12)</f>
        <v>911108.4684663259</v>
      </c>
      <c r="V414" s="24">
        <f ca="1">IF(AND($B$10&lt;55,B414&lt;59.5),MIN(U414,MAX(0,(Y414+AA414+AJ414-G414)*'Retirement Planning'!$J$45)),IF(B414&lt;59.5,(MIN(U414,MAX(0,((Y414+AA414+AJ414)-G414-M414)*'Retirement Planning'!$J$45))),MIN(U414,MAX(0,(Y414+AA414+AJ414-G414-M414-K414-X414)*'Retirement Planning'!$J$45))))</f>
        <v>1855.2205615741307</v>
      </c>
      <c r="W414" s="7">
        <f t="shared" ca="1" si="175"/>
        <v>4497448.8238932295</v>
      </c>
      <c r="X414" s="7">
        <f>(IF(B414&gt;'Retirement Planning'!$J$34,IF('Retirement Planning'!$J$34=70,'Retirement Planning'!$J$37/12,IF('Retirement Planning'!$J$34=67,'Retirement Planning'!$J$36/12,'Retirement Planning'!$J$35/12)),0))*'Retirement Planning'!$J$38</f>
        <v>1213.6000000000001</v>
      </c>
      <c r="Y414" s="7">
        <f ca="1">'Retirement Planning'!$F$35*((1+'Retirement Planning'!$J$24)^(YEAR('Projected Retirement Drawdown'!C414)-YEAR(TODAY())))</f>
        <v>16155.73652954028</v>
      </c>
      <c r="Z414" s="7">
        <f ca="1">G414+M414+O414+0.85*X414+V414*'Retirement Planning'!$J$46+T414</f>
        <v>18032.023012241589</v>
      </c>
      <c r="AA414" s="7">
        <f ca="1">IF(MONTH(C414)=1,(((MIN(MAX(0,((SUM(Z402:Z413)-'Retirement Planning'!$I$53-'Retirement Planning'!$I$54)-'Retirement Planning'!$J$51)*'Retirement Planning'!$I$52))))+(MIN(MAX(0,((SUM(Z402:Z413)-'Retirement Planning'!$I$53-'Retirement Planning'!$I$54)-'Retirement Planning'!$J$50)*'Retirement Planning'!$I$51),('Retirement Planning'!$J$51-'Retirement Planning'!$J$50)*'Retirement Planning'!$I$51))+(MIN(MAX(0,((SUM(Z402:Z413)-'Retirement Planning'!$I$53-'Retirement Planning'!$I$54)-'Retirement Planning'!$J$49)*'Retirement Planning'!$I$50),('Retirement Planning'!$J$50-'Retirement Planning'!$J$49)*'Retirement Planning'!$I$50)+MIN(MAX(0,((SUM(Z402:Z413)-'Retirement Planning'!$I$53-'Retirement Planning'!$I$54)-'Retirement Planning'!$J$48)*'Retirement Planning'!$I$49),('Retirement Planning'!$J$49-'Retirement Planning'!$J$48)*'Retirement Planning'!$I$49)+MIN(((SUM(Z402:Z413)-'Retirement Planning'!$I$53-'Retirement Planning'!$I$54))*'Retirement Planning'!$I$48,('Retirement Planning'!$J$48)*'Retirement Planning'!$I$48))+(IF((SUM(Z402:Z413)-'Retirement Planning'!$I$54-'Retirement Planning'!$I$61)&gt;'Retirement Planning'!$J$59,(SUM(Z402:Z413)-'Retirement Planning'!$I$54-'Retirement Planning'!$I$61-'Retirement Planning'!$J$59)*'Retirement Planning'!$I$60+'Retirement Planning'!$K$59,IF((SUM(Z402:Z413)-'Retirement Planning'!$I$54-'Retirement Planning'!$I$61)&gt;'Retirement Planning'!$J$58,(SUM(Z402:Z413)-'Retirement Planning'!$I$54-'Retirement Planning'!$I$61-'Retirement Planning'!$J$58)*'Retirement Planning'!$I$59+'Retirement Planning'!$K$58,IF((SUM(Z402:Z413)-'Retirement Planning'!$I$54-'Retirement Planning'!$I$61)&gt;'Retirement Planning'!$J$57,(SUM(Z402:Z413)-'Retirement Planning'!$I$54-'Retirement Planning'!$I$61-'Retirement Planning'!$J$57)*'Retirement Planning'!$I$58+'Retirement Planning'!$K$57,IF((SUM(Z402:Z413)-'Retirement Planning'!$I$54-'Retirement Planning'!$I$61)&gt;'Retirement Planning'!$J$56,(SUM(Z402:Z413)-'Retirement Planning'!$I$54-'Retirement Planning'!$I$61-'Retirement Planning'!$J$56)*'Retirement Planning'!$I$57+'Retirement Planning'!$K$56,(SUM(Z402:Z413)-'Retirement Planning'!$I$54-'Retirement Planning'!$I$61)*'Retirement Planning'!$I$56))))))/12,AA413)</f>
        <v>4754.3766845039454</v>
      </c>
      <c r="AB414" s="104">
        <f t="shared" ca="1" si="164"/>
        <v>0.27384069330055172</v>
      </c>
      <c r="AC414" s="7">
        <f>IF(B414&lt;65,'Retirement Planning'!$J$28,0)</f>
        <v>0</v>
      </c>
      <c r="AD414" s="7">
        <f>IF(B414&lt;65,'Retirement Planning'!$J$29/12,0)</f>
        <v>0</v>
      </c>
      <c r="AE414" s="22">
        <f>'Retirement Planning'!$J$31/12</f>
        <v>58.333333333333336</v>
      </c>
      <c r="AF414" s="22">
        <f>'Retirement Planning'!$J$32/12</f>
        <v>66.666666666666671</v>
      </c>
      <c r="AG414" s="7">
        <f>IF($B414&gt;64.9,'Retirement Planning'!$J$39/12,0)</f>
        <v>183.33333333333334</v>
      </c>
      <c r="AH414" s="7">
        <f>IF($B414&gt;64.9,'Retirement Planning'!$J$40/12,0)</f>
        <v>258.33333333333331</v>
      </c>
      <c r="AI414" s="7">
        <f>IF($B414&gt;64.9,'Retirement Planning'!$J$41/12,0)</f>
        <v>558.33333333333337</v>
      </c>
      <c r="AJ414" s="7">
        <f t="shared" ca="1" si="176"/>
        <v>316.66666666666663</v>
      </c>
      <c r="AK414" s="3" t="str">
        <f t="shared" ca="1" si="162"/>
        <v>N/A</v>
      </c>
      <c r="AL414" s="6" t="str">
        <f t="shared" ca="1" si="163"/>
        <v>N/A</v>
      </c>
      <c r="AM414" s="7">
        <f t="shared" ca="1" si="177"/>
        <v>1.1368683772161603E-12</v>
      </c>
      <c r="AN414" s="7">
        <f t="shared" ca="1" si="178"/>
        <v>22035.113214044224</v>
      </c>
      <c r="AO414" s="7">
        <f t="shared" si="179"/>
        <v>1125</v>
      </c>
    </row>
    <row r="415" spans="1:41" x14ac:dyDescent="0.2">
      <c r="A415">
        <f t="shared" si="180"/>
        <v>50</v>
      </c>
      <c r="B415" s="5">
        <f t="shared" si="181"/>
        <v>90</v>
      </c>
      <c r="C415" s="56">
        <f t="shared" si="182"/>
        <v>58746</v>
      </c>
      <c r="D415" s="57">
        <f ca="1">IF(AND(B414&lt;59.5,OR(B415&gt;59.5,B415=59.5)),(D414-E414+J414-K414)*(1+'Retirement Planning'!$J$23/12),(D414-E414)*(1+'Retirement Planning'!$J$23/12))</f>
        <v>1125846.615750473</v>
      </c>
      <c r="E415" s="58">
        <f t="shared" ca="1" si="171"/>
        <v>2177.8676157609389</v>
      </c>
      <c r="F415" s="57">
        <f ca="1">IF(AND(OR(B415&gt;59.5,B415=59.5),B414&lt;59.5),(F414-G414+L414-M414+N414-O414)*(1+'Retirement Planning'!$J$23/12),(F414-G414)*(1+'Retirement Planning'!$J$23/12))</f>
        <v>816373.9360429662</v>
      </c>
      <c r="G415" s="58">
        <f ca="1">IF(AND($B$10&lt;55,B415&lt;59.5),'Retirement Planning'!$J$25,IF(OR(B415&gt;59.5,B415=59.5),MAX(0,MIN(F415,IF(D415&lt;2500,((Y415+AJ415+AA415))-X415,((Y415+AJ415+AA415)*'Retirement Planning'!$J$44)-X415))),0))</f>
        <v>15980.091703375825</v>
      </c>
      <c r="H415" s="255">
        <f ca="1">IF(MONTH(C415)=1,IF(B415&gt;69.5,F415/(INDEX('Retirement Planning'!D$1:D$264,(160+INT(B415))))/12,0),IF(F415=0,0,H414))</f>
        <v>12110.776180787645</v>
      </c>
      <c r="I415" s="262">
        <f t="shared" ca="1" si="172"/>
        <v>0</v>
      </c>
      <c r="J415" s="254">
        <f ca="1">IF(AND(B414&lt;59.5,OR(B415=59.5,B415&gt;59.5)),0,(J414-K414)*(1+'Retirement Planning'!$J$23/12))</f>
        <v>0</v>
      </c>
      <c r="K415" s="58">
        <f t="shared" ca="1" si="173"/>
        <v>0</v>
      </c>
      <c r="L415" s="57">
        <f>IF(AND(OR(B415&gt;59.5,B415=59.5),B414&lt;59.5),0,(L414-M414)*(1+'Retirement Planning'!$J$23/12))</f>
        <v>0</v>
      </c>
      <c r="M415" s="59">
        <f>IF(AND($B$10&lt;55,B415&lt;59.5),0,IF(B415&lt;59.5,MAX(0,MIN((($Y415+$AJ415+AA415)*'Retirement Planning'!$J$44)-$G415-$X415,L415)),0))</f>
        <v>0</v>
      </c>
      <c r="N415" s="57">
        <f ca="1">(N414-O414)*(1+'Retirement Planning'!$J$23/12)</f>
        <v>0</v>
      </c>
      <c r="O415" s="59">
        <f ca="1">IF(B415&gt;59.5,MAX(0,MIN((AA415+$Y415+$AJ415)*(IF(D415&lt;(MIN(E403:E414)+1),1,'Retirement Planning'!$J$44))-M415-$G415-$X415-(IF(D415&lt;(MIN(E403:E414)+1),D415,0)),N415)),0)</f>
        <v>0</v>
      </c>
      <c r="P415" s="57">
        <f t="shared" si="183"/>
        <v>0</v>
      </c>
      <c r="Q415" s="58">
        <f t="shared" si="184"/>
        <v>0</v>
      </c>
      <c r="R415" s="57">
        <f ca="1">(R414-S414-T414)*(1+'Retirement Planning'!$J$23/12)</f>
        <v>1650422.4105923129</v>
      </c>
      <c r="S415" s="58">
        <f t="shared" ca="1" si="185"/>
        <v>808.33333333333337</v>
      </c>
      <c r="T415" s="273">
        <f t="shared" ca="1" si="174"/>
        <v>-5.9117155615240335E-12</v>
      </c>
      <c r="U415" s="57">
        <f ca="1">(U414-V414)*(1+'Retirement Planning'!$J$23/12)</f>
        <v>915693.79174407711</v>
      </c>
      <c r="V415" s="24">
        <f ca="1">IF(AND($B$10&lt;55,B415&lt;59.5),MIN(U415,MAX(0,(Y415+AA415+AJ415-G415)*'Retirement Planning'!$J$45)),IF(B415&lt;59.5,(MIN(U415,MAX(0,((Y415+AA415+AJ415)-G415-M415)*'Retirement Planning'!$J$45))),MIN(U415,MAX(0,(Y415+AA415+AJ415-G415-M415-K415-X415)*'Retirement Planning'!$J$45))))</f>
        <v>1855.2205615741307</v>
      </c>
      <c r="W415" s="7">
        <f t="shared" ca="1" si="175"/>
        <v>4508336.7541298289</v>
      </c>
      <c r="X415" s="7">
        <f>(IF(B415&gt;'Retirement Planning'!$J$34,IF('Retirement Planning'!$J$34=70,'Retirement Planning'!$J$37/12,IF('Retirement Planning'!$J$34=67,'Retirement Planning'!$J$36/12,'Retirement Planning'!$J$35/12)),0))*'Retirement Planning'!$J$38</f>
        <v>1213.6000000000001</v>
      </c>
      <c r="Y415" s="7">
        <f ca="1">'Retirement Planning'!$F$35*((1+'Retirement Planning'!$J$24)^(YEAR('Projected Retirement Drawdown'!C415)-YEAR(TODAY())))</f>
        <v>16155.73652954028</v>
      </c>
      <c r="Z415" s="7">
        <f ca="1">G415+M415+O415+0.85*X415+V415*'Retirement Planning'!$J$46+T415</f>
        <v>18032.023012241589</v>
      </c>
      <c r="AA415" s="7">
        <f ca="1">IF(MONTH(C415)=1,(((MIN(MAX(0,((SUM(Z403:Z414)-'Retirement Planning'!$I$53-'Retirement Planning'!$I$54)-'Retirement Planning'!$J$51)*'Retirement Planning'!$I$52))))+(MIN(MAX(0,((SUM(Z403:Z414)-'Retirement Planning'!$I$53-'Retirement Planning'!$I$54)-'Retirement Planning'!$J$50)*'Retirement Planning'!$I$51),('Retirement Planning'!$J$51-'Retirement Planning'!$J$50)*'Retirement Planning'!$I$51))+(MIN(MAX(0,((SUM(Z403:Z414)-'Retirement Planning'!$I$53-'Retirement Planning'!$I$54)-'Retirement Planning'!$J$49)*'Retirement Planning'!$I$50),('Retirement Planning'!$J$50-'Retirement Planning'!$J$49)*'Retirement Planning'!$I$50)+MIN(MAX(0,((SUM(Z403:Z414)-'Retirement Planning'!$I$53-'Retirement Planning'!$I$54)-'Retirement Planning'!$J$48)*'Retirement Planning'!$I$49),('Retirement Planning'!$J$49-'Retirement Planning'!$J$48)*'Retirement Planning'!$I$49)+MIN(((SUM(Z403:Z414)-'Retirement Planning'!$I$53-'Retirement Planning'!$I$54))*'Retirement Planning'!$I$48,('Retirement Planning'!$J$48)*'Retirement Planning'!$I$48))+(IF((SUM(Z403:Z414)-'Retirement Planning'!$I$54-'Retirement Planning'!$I$61)&gt;'Retirement Planning'!$J$59,(SUM(Z403:Z414)-'Retirement Planning'!$I$54-'Retirement Planning'!$I$61-'Retirement Planning'!$J$59)*'Retirement Planning'!$I$60+'Retirement Planning'!$K$59,IF((SUM(Z403:Z414)-'Retirement Planning'!$I$54-'Retirement Planning'!$I$61)&gt;'Retirement Planning'!$J$58,(SUM(Z403:Z414)-'Retirement Planning'!$I$54-'Retirement Planning'!$I$61-'Retirement Planning'!$J$58)*'Retirement Planning'!$I$59+'Retirement Planning'!$K$58,IF((SUM(Z403:Z414)-'Retirement Planning'!$I$54-'Retirement Planning'!$I$61)&gt;'Retirement Planning'!$J$57,(SUM(Z403:Z414)-'Retirement Planning'!$I$54-'Retirement Planning'!$I$61-'Retirement Planning'!$J$57)*'Retirement Planning'!$I$58+'Retirement Planning'!$K$57,IF((SUM(Z403:Z414)-'Retirement Planning'!$I$54-'Retirement Planning'!$I$61)&gt;'Retirement Planning'!$J$56,(SUM(Z403:Z414)-'Retirement Planning'!$I$54-'Retirement Planning'!$I$61-'Retirement Planning'!$J$56)*'Retirement Planning'!$I$57+'Retirement Planning'!$K$56,(SUM(Z403:Z414)-'Retirement Planning'!$I$54-'Retirement Planning'!$I$61)*'Retirement Planning'!$I$56))))))/12,AA414)</f>
        <v>4754.3766845039454</v>
      </c>
      <c r="AB415" s="104">
        <f t="shared" ca="1" si="164"/>
        <v>0.27384069330055172</v>
      </c>
      <c r="AC415" s="7">
        <f>IF(B415&lt;65,'Retirement Planning'!$J$28,0)</f>
        <v>0</v>
      </c>
      <c r="AD415" s="7">
        <f>IF(B415&lt;65,'Retirement Planning'!$J$29/12,0)</f>
        <v>0</v>
      </c>
      <c r="AE415" s="22">
        <f>'Retirement Planning'!$J$31/12</f>
        <v>58.333333333333336</v>
      </c>
      <c r="AF415" s="22">
        <f>'Retirement Planning'!$J$32/12</f>
        <v>66.666666666666671</v>
      </c>
      <c r="AG415" s="7">
        <f>IF($B415&gt;64.9,'Retirement Planning'!$J$39/12,0)</f>
        <v>183.33333333333334</v>
      </c>
      <c r="AH415" s="7">
        <f>IF($B415&gt;64.9,'Retirement Planning'!$J$40/12,0)</f>
        <v>258.33333333333331</v>
      </c>
      <c r="AI415" s="7">
        <f>IF($B415&gt;64.9,'Retirement Planning'!$J$41/12,0)</f>
        <v>558.33333333333337</v>
      </c>
      <c r="AJ415" s="7">
        <f t="shared" ca="1" si="176"/>
        <v>316.66666666666663</v>
      </c>
      <c r="AK415" s="3" t="str">
        <f t="shared" ca="1" si="162"/>
        <v>N/A</v>
      </c>
      <c r="AL415" s="6" t="str">
        <f t="shared" ca="1" si="163"/>
        <v>N/A</v>
      </c>
      <c r="AM415" s="7">
        <f t="shared" ca="1" si="177"/>
        <v>1.1368683772161603E-12</v>
      </c>
      <c r="AN415" s="7">
        <f t="shared" ca="1" si="178"/>
        <v>22035.113214044224</v>
      </c>
      <c r="AO415" s="7">
        <f t="shared" si="179"/>
        <v>1125</v>
      </c>
    </row>
    <row r="416" spans="1:41" x14ac:dyDescent="0.2">
      <c r="A416">
        <f t="shared" si="180"/>
        <v>50</v>
      </c>
      <c r="B416" s="5">
        <f t="shared" si="181"/>
        <v>90.1</v>
      </c>
      <c r="C416" s="56">
        <f t="shared" si="182"/>
        <v>58776</v>
      </c>
      <c r="D416" s="57">
        <f ca="1">IF(AND(B415&lt;59.5,OR(B416&gt;59.5,B416=59.5)),(D415-E415+J415-K415)*(1+'Retirement Planning'!$J$23/12),(D415-E415)*(1+'Retirement Planning'!$J$23/12))</f>
        <v>1131628.0684339995</v>
      </c>
      <c r="E416" s="58">
        <f t="shared" ca="1" si="171"/>
        <v>2177.8676157609389</v>
      </c>
      <c r="F416" s="57">
        <f ca="1">IF(AND(OR(B416&gt;59.5,B416=59.5),B415&lt;59.5),(F415-G415+L415-M415+N415-O415)*(1+'Retirement Planning'!$J$23/12),(F415-G415)*(1+'Retirement Planning'!$J$23/12))</f>
        <v>806063.30073699588</v>
      </c>
      <c r="G416" s="58">
        <f ca="1">IF(AND($B$10&lt;55,B416&lt;59.5),'Retirement Planning'!$J$25,IF(OR(B416&gt;59.5,B416=59.5),MAX(0,MIN(F416,IF(D416&lt;2500,((Y416+AJ416+AA416))-X416,((Y416+AJ416+AA416)*'Retirement Planning'!$J$44)-X416))),0))</f>
        <v>15980.091703375825</v>
      </c>
      <c r="H416" s="255">
        <f ca="1">IF(MONTH(C416)=1,IF(B416&gt;69.5,F416/(INDEX('Retirement Planning'!D$1:D$264,(160+INT(B416))))/12,0),IF(F416=0,0,H415))</f>
        <v>12110.776180787645</v>
      </c>
      <c r="I416" s="262">
        <f t="shared" ca="1" si="172"/>
        <v>0</v>
      </c>
      <c r="J416" s="254">
        <f ca="1">IF(AND(B415&lt;59.5,OR(B416=59.5,B416&gt;59.5)),0,(J415-K415)*(1+'Retirement Planning'!$J$23/12))</f>
        <v>0</v>
      </c>
      <c r="K416" s="58">
        <f t="shared" ca="1" si="173"/>
        <v>0</v>
      </c>
      <c r="L416" s="57">
        <f>IF(AND(OR(B416&gt;59.5,B416=59.5),B415&lt;59.5),0,(L415-M415)*(1+'Retirement Planning'!$J$23/12))</f>
        <v>0</v>
      </c>
      <c r="M416" s="59">
        <f>IF(AND($B$10&lt;55,B416&lt;59.5),0,IF(B416&lt;59.5,MAX(0,MIN((($Y416+$AJ416+AA416)*'Retirement Planning'!$J$44)-$G416-$X416,L416)),0))</f>
        <v>0</v>
      </c>
      <c r="N416" s="57">
        <f ca="1">(N415-O415)*(1+'Retirement Planning'!$J$23/12)</f>
        <v>0</v>
      </c>
      <c r="O416" s="59">
        <f ca="1">IF(B416&gt;59.5,MAX(0,MIN((AA416+$Y416+$AJ416)*(IF(D416&lt;(MIN(E404:E415)+1),1,'Retirement Planning'!$J$44))-M416-$G416-$X416-(IF(D416&lt;(MIN(E404:E415)+1),D416,0)),N416)),0)</f>
        <v>0</v>
      </c>
      <c r="P416" s="57">
        <f t="shared" si="183"/>
        <v>0</v>
      </c>
      <c r="Q416" s="58">
        <f t="shared" si="184"/>
        <v>0</v>
      </c>
      <c r="R416" s="57">
        <f ca="1">(R415-S415-T415)*(1+'Retirement Planning'!$J$23/12)</f>
        <v>1661298.843639564</v>
      </c>
      <c r="S416" s="58">
        <f t="shared" ca="1" si="185"/>
        <v>808.33333333333337</v>
      </c>
      <c r="T416" s="273">
        <f t="shared" ca="1" si="174"/>
        <v>-5.9117155615240335E-12</v>
      </c>
      <c r="U416" s="57">
        <f ca="1">(U415-V415)*(1+'Retirement Planning'!$J$23/12)</f>
        <v>920311.59439504577</v>
      </c>
      <c r="V416" s="24">
        <f ca="1">IF(AND($B$10&lt;55,B416&lt;59.5),MIN(U416,MAX(0,(Y416+AA416+AJ416-G416)*'Retirement Planning'!$J$45)),IF(B416&lt;59.5,(MIN(U416,MAX(0,((Y416+AA416+AJ416)-G416-M416)*'Retirement Planning'!$J$45))),MIN(U416,MAX(0,(Y416+AA416+AJ416-G416-M416-K416-X416)*'Retirement Planning'!$J$45))))</f>
        <v>1855.2205615741307</v>
      </c>
      <c r="W416" s="7">
        <f t="shared" ca="1" si="175"/>
        <v>4519301.8072056053</v>
      </c>
      <c r="X416" s="7">
        <f>(IF(B416&gt;'Retirement Planning'!$J$34,IF('Retirement Planning'!$J$34=70,'Retirement Planning'!$J$37/12,IF('Retirement Planning'!$J$34=67,'Retirement Planning'!$J$36/12,'Retirement Planning'!$J$35/12)),0))*'Retirement Planning'!$J$38</f>
        <v>1213.6000000000001</v>
      </c>
      <c r="Y416" s="7">
        <f ca="1">'Retirement Planning'!$F$35*((1+'Retirement Planning'!$J$24)^(YEAR('Projected Retirement Drawdown'!C416)-YEAR(TODAY())))</f>
        <v>16155.73652954028</v>
      </c>
      <c r="Z416" s="7">
        <f ca="1">G416+M416+O416+0.85*X416+V416*'Retirement Planning'!$J$46+T416</f>
        <v>18032.023012241589</v>
      </c>
      <c r="AA416" s="7">
        <f ca="1">IF(MONTH(C416)=1,(((MIN(MAX(0,((SUM(Z404:Z415)-'Retirement Planning'!$I$53-'Retirement Planning'!$I$54)-'Retirement Planning'!$J$51)*'Retirement Planning'!$I$52))))+(MIN(MAX(0,((SUM(Z404:Z415)-'Retirement Planning'!$I$53-'Retirement Planning'!$I$54)-'Retirement Planning'!$J$50)*'Retirement Planning'!$I$51),('Retirement Planning'!$J$51-'Retirement Planning'!$J$50)*'Retirement Planning'!$I$51))+(MIN(MAX(0,((SUM(Z404:Z415)-'Retirement Planning'!$I$53-'Retirement Planning'!$I$54)-'Retirement Planning'!$J$49)*'Retirement Planning'!$I$50),('Retirement Planning'!$J$50-'Retirement Planning'!$J$49)*'Retirement Planning'!$I$50)+MIN(MAX(0,((SUM(Z404:Z415)-'Retirement Planning'!$I$53-'Retirement Planning'!$I$54)-'Retirement Planning'!$J$48)*'Retirement Planning'!$I$49),('Retirement Planning'!$J$49-'Retirement Planning'!$J$48)*'Retirement Planning'!$I$49)+MIN(((SUM(Z404:Z415)-'Retirement Planning'!$I$53-'Retirement Planning'!$I$54))*'Retirement Planning'!$I$48,('Retirement Planning'!$J$48)*'Retirement Planning'!$I$48))+(IF((SUM(Z404:Z415)-'Retirement Planning'!$I$54-'Retirement Planning'!$I$61)&gt;'Retirement Planning'!$J$59,(SUM(Z404:Z415)-'Retirement Planning'!$I$54-'Retirement Planning'!$I$61-'Retirement Planning'!$J$59)*'Retirement Planning'!$I$60+'Retirement Planning'!$K$59,IF((SUM(Z404:Z415)-'Retirement Planning'!$I$54-'Retirement Planning'!$I$61)&gt;'Retirement Planning'!$J$58,(SUM(Z404:Z415)-'Retirement Planning'!$I$54-'Retirement Planning'!$I$61-'Retirement Planning'!$J$58)*'Retirement Planning'!$I$59+'Retirement Planning'!$K$58,IF((SUM(Z404:Z415)-'Retirement Planning'!$I$54-'Retirement Planning'!$I$61)&gt;'Retirement Planning'!$J$57,(SUM(Z404:Z415)-'Retirement Planning'!$I$54-'Retirement Planning'!$I$61-'Retirement Planning'!$J$57)*'Retirement Planning'!$I$58+'Retirement Planning'!$K$57,IF((SUM(Z404:Z415)-'Retirement Planning'!$I$54-'Retirement Planning'!$I$61)&gt;'Retirement Planning'!$J$56,(SUM(Z404:Z415)-'Retirement Planning'!$I$54-'Retirement Planning'!$I$61-'Retirement Planning'!$J$56)*'Retirement Planning'!$I$57+'Retirement Planning'!$K$56,(SUM(Z404:Z415)-'Retirement Planning'!$I$54-'Retirement Planning'!$I$61)*'Retirement Planning'!$I$56))))))/12,AA415)</f>
        <v>4754.3766845039454</v>
      </c>
      <c r="AB416" s="104">
        <f t="shared" ca="1" si="164"/>
        <v>0.27384069330055172</v>
      </c>
      <c r="AC416" s="7">
        <f>IF(B416&lt;65,'Retirement Planning'!$J$28,0)</f>
        <v>0</v>
      </c>
      <c r="AD416" s="7">
        <f>IF(B416&lt;65,'Retirement Planning'!$J$29/12,0)</f>
        <v>0</v>
      </c>
      <c r="AE416" s="22">
        <f>'Retirement Planning'!$J$31/12</f>
        <v>58.333333333333336</v>
      </c>
      <c r="AF416" s="22">
        <f>'Retirement Planning'!$J$32/12</f>
        <v>66.666666666666671</v>
      </c>
      <c r="AG416" s="7">
        <f>IF($B416&gt;64.9,'Retirement Planning'!$J$39/12,0)</f>
        <v>183.33333333333334</v>
      </c>
      <c r="AH416" s="7">
        <f>IF($B416&gt;64.9,'Retirement Planning'!$J$40/12,0)</f>
        <v>258.33333333333331</v>
      </c>
      <c r="AI416" s="7">
        <f>IF($B416&gt;64.9,'Retirement Planning'!$J$41/12,0)</f>
        <v>558.33333333333337</v>
      </c>
      <c r="AJ416" s="7">
        <f t="shared" ca="1" si="176"/>
        <v>316.66666666666663</v>
      </c>
      <c r="AK416" s="3" t="str">
        <f t="shared" ca="1" si="162"/>
        <v>N/A</v>
      </c>
      <c r="AL416" s="6" t="str">
        <f t="shared" ca="1" si="163"/>
        <v>N/A</v>
      </c>
      <c r="AM416" s="7">
        <f t="shared" ca="1" si="177"/>
        <v>1.1368683772161603E-12</v>
      </c>
      <c r="AN416" s="7">
        <f t="shared" ca="1" si="178"/>
        <v>22035.113214044224</v>
      </c>
      <c r="AO416" s="7">
        <f t="shared" si="179"/>
        <v>1125</v>
      </c>
    </row>
    <row r="417" spans="1:41" x14ac:dyDescent="0.2">
      <c r="A417">
        <f t="shared" si="180"/>
        <v>50</v>
      </c>
      <c r="B417" s="5">
        <f t="shared" si="181"/>
        <v>90.2</v>
      </c>
      <c r="C417" s="56">
        <f t="shared" si="182"/>
        <v>58807</v>
      </c>
      <c r="D417" s="57">
        <f ca="1">IF(AND(B416&lt;59.5,OR(B417&gt;59.5,B417=59.5)),(D416-E416+J416-K416)*(1+'Retirement Planning'!$J$23/12),(D416-E416)*(1+'Retirement Planning'!$J$23/12))</f>
        <v>1137450.4730740343</v>
      </c>
      <c r="E417" s="58">
        <f t="shared" ca="1" si="171"/>
        <v>2261.6958889288289</v>
      </c>
      <c r="F417" s="57">
        <f ca="1">IF(AND(OR(B417&gt;59.5,B417=59.5),B416&lt;59.5),(F416-G416+L416-M416+N416-O416)*(1+'Retirement Planning'!$J$23/12),(F416-G416)*(1+'Retirement Planning'!$J$23/12))</f>
        <v>795679.63176427491</v>
      </c>
      <c r="G417" s="58">
        <f ca="1">IF(AND($B$10&lt;55,B417&lt;59.5),'Retirement Planning'!$J$25,IF(OR(B417&gt;59.5,B417=59.5),MAX(0,MIN(F417,IF(D417&lt;2500,((Y417+AJ417+AA417))-X417,((Y417+AJ417+AA417)*'Retirement Planning'!$J$44)-X417))),0))</f>
        <v>16641.893859964446</v>
      </c>
      <c r="H417" s="255">
        <f ca="1">IF(MONTH(C417)=1,IF(B417&gt;69.5,F417/(INDEX('Retirement Planning'!D$1:D$264,(160+INT(B417))))/12,0),IF(F417=0,0,H416))</f>
        <v>11238.41287802648</v>
      </c>
      <c r="I417" s="262">
        <f t="shared" ca="1" si="172"/>
        <v>0</v>
      </c>
      <c r="J417" s="254">
        <f ca="1">IF(AND(B416&lt;59.5,OR(B417=59.5,B417&gt;59.5)),0,(J416-K416)*(1+'Retirement Planning'!$J$23/12))</f>
        <v>0</v>
      </c>
      <c r="K417" s="58">
        <f t="shared" ca="1" si="173"/>
        <v>0</v>
      </c>
      <c r="L417" s="57">
        <f>IF(AND(OR(B417&gt;59.5,B417=59.5),B416&lt;59.5),0,(L416-M416)*(1+'Retirement Planning'!$J$23/12))</f>
        <v>0</v>
      </c>
      <c r="M417" s="59">
        <f>IF(AND($B$10&lt;55,B417&lt;59.5),0,IF(B417&lt;59.5,MAX(0,MIN((($Y417+$AJ417+AA417)*'Retirement Planning'!$J$44)-$G417-$X417,L417)),0))</f>
        <v>0</v>
      </c>
      <c r="N417" s="57">
        <f ca="1">(N416-O416)*(1+'Retirement Planning'!$J$23/12)</f>
        <v>0</v>
      </c>
      <c r="O417" s="59">
        <f ca="1">IF(B417&gt;59.5,MAX(0,MIN((AA417+$Y417+$AJ417)*(IF(D417&lt;(MIN(E405:E416)+1),1,'Retirement Planning'!$J$44))-M417-$G417-$X417-(IF(D417&lt;(MIN(E405:E416)+1),D417,0)),N417)),0)</f>
        <v>0</v>
      </c>
      <c r="P417" s="57">
        <f t="shared" si="183"/>
        <v>0</v>
      </c>
      <c r="Q417" s="58">
        <f t="shared" si="184"/>
        <v>0</v>
      </c>
      <c r="R417" s="57">
        <f ca="1">(R416-S416-T416)*(1+'Retirement Planning'!$J$23/12)</f>
        <v>1672252.3180875666</v>
      </c>
      <c r="S417" s="58">
        <f t="shared" ca="1" si="185"/>
        <v>808.33333333333337</v>
      </c>
      <c r="T417" s="273">
        <f t="shared" ca="1" si="174"/>
        <v>-2.2737367544323206E-12</v>
      </c>
      <c r="U417" s="57">
        <f ca="1">(U416-V416)*(1+'Retirement Planning'!$J$23/12)</f>
        <v>924962.10648145876</v>
      </c>
      <c r="V417" s="24">
        <f ca="1">IF(AND($B$10&lt;55,B417&lt;59.5),MIN(U417,MAX(0,(Y417+AA417+AJ417-G417)*'Retirement Planning'!$J$45)),IF(B417&lt;59.5,(MIN(U417,MAX(0,((Y417+AA417+AJ417)-G417-M417)*'Retirement Planning'!$J$45))),MIN(U417,MAX(0,(Y417+AA417+AJ417-G417-M417-K417-X417)*'Retirement Planning'!$J$45))))</f>
        <v>1926.6298313097425</v>
      </c>
      <c r="W417" s="7">
        <f t="shared" ca="1" si="175"/>
        <v>4530344.5294073345</v>
      </c>
      <c r="X417" s="7">
        <f>(IF(B417&gt;'Retirement Planning'!$J$34,IF('Retirement Planning'!$J$34=70,'Retirement Planning'!$J$37/12,IF('Retirement Planning'!$J$34=67,'Retirement Planning'!$J$36/12,'Retirement Planning'!$J$35/12)),0))*'Retirement Planning'!$J$38</f>
        <v>1213.6000000000001</v>
      </c>
      <c r="Y417" s="7">
        <f ca="1">'Retirement Planning'!$F$35*((1+'Retirement Planning'!$J$24)^(YEAR('Projected Retirement Drawdown'!C417)-YEAR(TODAY())))</f>
        <v>16721.18730807419</v>
      </c>
      <c r="Z417" s="7">
        <f ca="1">G417+M417+O417+0.85*X417+V417*'Retirement Planning'!$J$46+T417</f>
        <v>18733.100267184804</v>
      </c>
      <c r="AA417" s="7">
        <f ca="1">IF(MONTH(C417)=1,(((MIN(MAX(0,((SUM(Z405:Z416)-'Retirement Planning'!$I$53-'Retirement Planning'!$I$54)-'Retirement Planning'!$J$51)*'Retirement Planning'!$I$52))))+(MIN(MAX(0,((SUM(Z405:Z416)-'Retirement Planning'!$I$53-'Retirement Planning'!$I$54)-'Retirement Planning'!$J$50)*'Retirement Planning'!$I$51),('Retirement Planning'!$J$51-'Retirement Planning'!$J$50)*'Retirement Planning'!$I$51))+(MIN(MAX(0,((SUM(Z405:Z416)-'Retirement Planning'!$I$53-'Retirement Planning'!$I$54)-'Retirement Planning'!$J$49)*'Retirement Planning'!$I$50),('Retirement Planning'!$J$50-'Retirement Planning'!$J$49)*'Retirement Planning'!$I$50)+MIN(MAX(0,((SUM(Z405:Z416)-'Retirement Planning'!$I$53-'Retirement Planning'!$I$54)-'Retirement Planning'!$J$48)*'Retirement Planning'!$I$49),('Retirement Planning'!$J$49-'Retirement Planning'!$J$48)*'Retirement Planning'!$I$49)+MIN(((SUM(Z405:Z416)-'Retirement Planning'!$I$53-'Retirement Planning'!$I$54))*'Retirement Planning'!$I$48,('Retirement Planning'!$J$48)*'Retirement Planning'!$I$48))+(IF((SUM(Z405:Z416)-'Retirement Planning'!$I$54-'Retirement Planning'!$I$61)&gt;'Retirement Planning'!$J$59,(SUM(Z405:Z416)-'Retirement Planning'!$I$54-'Retirement Planning'!$I$61-'Retirement Planning'!$J$59)*'Retirement Planning'!$I$60+'Retirement Planning'!$K$59,IF((SUM(Z405:Z416)-'Retirement Planning'!$I$54-'Retirement Planning'!$I$61)&gt;'Retirement Planning'!$J$58,(SUM(Z405:Z416)-'Retirement Planning'!$I$54-'Retirement Planning'!$I$61-'Retirement Planning'!$J$58)*'Retirement Planning'!$I$59+'Retirement Planning'!$K$58,IF((SUM(Z405:Z416)-'Retirement Planning'!$I$54-'Retirement Planning'!$I$61)&gt;'Retirement Planning'!$J$57,(SUM(Z405:Z416)-'Retirement Planning'!$I$54-'Retirement Planning'!$I$61-'Retirement Planning'!$J$57)*'Retirement Planning'!$I$58+'Retirement Planning'!$K$57,IF((SUM(Z405:Z416)-'Retirement Planning'!$I$54-'Retirement Planning'!$I$61)&gt;'Retirement Planning'!$J$56,(SUM(Z405:Z416)-'Retirement Planning'!$I$54-'Retirement Planning'!$I$61-'Retirement Planning'!$J$56)*'Retirement Planning'!$I$57+'Retirement Planning'!$K$56,(SUM(Z405:Z416)-'Retirement Planning'!$I$54-'Retirement Planning'!$I$61)*'Retirement Planning'!$I$56))))))/12,AA416)</f>
        <v>5005.9656054621582</v>
      </c>
      <c r="AB417" s="104">
        <f t="shared" ref="AB417" ca="1" si="188">SUM(AA417:AA428)/SUM(Z405:Z416)</f>
        <v>0.27761530706031751</v>
      </c>
      <c r="AC417" s="7">
        <f>IF(B417&lt;65,'Retirement Planning'!$J$28,0)</f>
        <v>0</v>
      </c>
      <c r="AD417" s="7">
        <f>IF(B417&lt;65,'Retirement Planning'!$J$29/12,0)</f>
        <v>0</v>
      </c>
      <c r="AE417" s="22">
        <f>'Retirement Planning'!$J$31/12</f>
        <v>58.333333333333336</v>
      </c>
      <c r="AF417" s="22">
        <f>'Retirement Planning'!$J$32/12</f>
        <v>66.666666666666671</v>
      </c>
      <c r="AG417" s="7">
        <f>IF($B417&gt;64.9,'Retirement Planning'!$J$39/12,0)</f>
        <v>183.33333333333334</v>
      </c>
      <c r="AH417" s="7">
        <f>IF($B417&gt;64.9,'Retirement Planning'!$J$40/12,0)</f>
        <v>258.33333333333331</v>
      </c>
      <c r="AI417" s="7">
        <f>IF($B417&gt;64.9,'Retirement Planning'!$J$41/12,0)</f>
        <v>558.33333333333337</v>
      </c>
      <c r="AJ417" s="7">
        <f t="shared" ca="1" si="176"/>
        <v>316.66666666666663</v>
      </c>
      <c r="AK417" s="3" t="str">
        <f t="shared" ca="1" si="162"/>
        <v>N/A</v>
      </c>
      <c r="AL417" s="6" t="str">
        <f t="shared" ca="1" si="163"/>
        <v>N/A</v>
      </c>
      <c r="AM417" s="7">
        <f t="shared" ca="1" si="177"/>
        <v>-6.8212102632969618E-13</v>
      </c>
      <c r="AN417" s="7">
        <f t="shared" ca="1" si="178"/>
        <v>22852.152913536349</v>
      </c>
      <c r="AO417" s="7">
        <f t="shared" si="179"/>
        <v>1125</v>
      </c>
    </row>
    <row r="418" spans="1:41" x14ac:dyDescent="0.2">
      <c r="A418">
        <f t="shared" si="180"/>
        <v>50</v>
      </c>
      <c r="B418" s="5">
        <f t="shared" si="181"/>
        <v>90.3</v>
      </c>
      <c r="C418" s="56">
        <f t="shared" si="182"/>
        <v>58838</v>
      </c>
      <c r="D418" s="57">
        <f ca="1">IF(AND(B417&lt;59.5,OR(B418&gt;59.5,B418=59.5)),(D417-E417+J417-K417)*(1+'Retirement Planning'!$J$23/12),(D417-E417)*(1+'Retirement Planning'!$J$23/12))</f>
        <v>1143229.6976901665</v>
      </c>
      <c r="E418" s="58">
        <f t="shared" ca="1" si="171"/>
        <v>2261.6958889288289</v>
      </c>
      <c r="F418" s="57">
        <f ca="1">IF(AND(OR(B418&gt;59.5,B418=59.5),B417&lt;59.5),(F417-G417+L417-M417+N417-O417)*(1+'Retirement Planning'!$J$23/12),(F417-G417)*(1+'Retirement Planning'!$J$23/12))</f>
        <v>784555.92188113264</v>
      </c>
      <c r="G418" s="58">
        <f ca="1">IF(AND($B$10&lt;55,B418&lt;59.5),'Retirement Planning'!$J$25,IF(OR(B418&gt;59.5,B418=59.5),MAX(0,MIN(F418,IF(D418&lt;2500,((Y418+AJ418+AA418))-X418,((Y418+AJ418+AA418)*'Retirement Planning'!$J$44)-X418))),0))</f>
        <v>16641.893859964446</v>
      </c>
      <c r="H418" s="255">
        <f ca="1">IF(MONTH(C418)=1,IF(B418&gt;69.5,F418/(INDEX('Retirement Planning'!D$1:D$264,(160+INT(B418))))/12,0),IF(F418=0,0,H417))</f>
        <v>11238.41287802648</v>
      </c>
      <c r="I418" s="262">
        <f t="shared" ca="1" si="172"/>
        <v>0</v>
      </c>
      <c r="J418" s="254">
        <f ca="1">IF(AND(B417&lt;59.5,OR(B418=59.5,B418&gt;59.5)),0,(J417-K417)*(1+'Retirement Planning'!$J$23/12))</f>
        <v>0</v>
      </c>
      <c r="K418" s="58">
        <f t="shared" ca="1" si="173"/>
        <v>0</v>
      </c>
      <c r="L418" s="57">
        <f>IF(AND(OR(B418&gt;59.5,B418=59.5),B417&lt;59.5),0,(L417-M417)*(1+'Retirement Planning'!$J$23/12))</f>
        <v>0</v>
      </c>
      <c r="M418" s="59">
        <f>IF(AND($B$10&lt;55,B418&lt;59.5),0,IF(B418&lt;59.5,MAX(0,MIN((($Y418+$AJ418+AA418)*'Retirement Planning'!$J$44)-$G418-$X418,L418)),0))</f>
        <v>0</v>
      </c>
      <c r="N418" s="57">
        <f ca="1">(N417-O417)*(1+'Retirement Planning'!$J$23/12)</f>
        <v>0</v>
      </c>
      <c r="O418" s="59">
        <f ca="1">IF(B418&gt;59.5,MAX(0,MIN((AA418+$Y418+$AJ418)*(IF(D418&lt;(MIN(E406:E417)+1),1,'Retirement Planning'!$J$44))-M418-$G418-$X418-(IF(D418&lt;(MIN(E406:E417)+1),D418,0)),N418)),0)</f>
        <v>0</v>
      </c>
      <c r="P418" s="57">
        <f t="shared" si="183"/>
        <v>0</v>
      </c>
      <c r="Q418" s="58">
        <f t="shared" si="184"/>
        <v>0</v>
      </c>
      <c r="R418" s="57">
        <f ca="1">(R417-S417-T417)*(1+'Retirement Planning'!$J$23/12)</f>
        <v>1683283.3796462426</v>
      </c>
      <c r="S418" s="58">
        <f t="shared" ca="1" si="185"/>
        <v>808.33333333333337</v>
      </c>
      <c r="T418" s="273">
        <f t="shared" ca="1" si="174"/>
        <v>-2.2737367544323206E-12</v>
      </c>
      <c r="U418" s="57">
        <f ca="1">(U417-V417)*(1+'Retirement Planning'!$J$23/12)</f>
        <v>929573.64460975421</v>
      </c>
      <c r="V418" s="24">
        <f ca="1">IF(AND($B$10&lt;55,B418&lt;59.5),MIN(U418,MAX(0,(Y418+AA418+AJ418-G418)*'Retirement Planning'!$J$45)),IF(B418&lt;59.5,(MIN(U418,MAX(0,((Y418+AA418+AJ418)-G418-M418)*'Retirement Planning'!$J$45))),MIN(U418,MAX(0,(Y418+AA418+AJ418-G418-M418-K418-X418)*'Retirement Planning'!$J$45))))</f>
        <v>1926.6298313097425</v>
      </c>
      <c r="W418" s="7">
        <f t="shared" ca="1" si="175"/>
        <v>4540642.6438272959</v>
      </c>
      <c r="X418" s="7">
        <f>(IF(B418&gt;'Retirement Planning'!$J$34,IF('Retirement Planning'!$J$34=70,'Retirement Planning'!$J$37/12,IF('Retirement Planning'!$J$34=67,'Retirement Planning'!$J$36/12,'Retirement Planning'!$J$35/12)),0))*'Retirement Planning'!$J$38</f>
        <v>1213.6000000000001</v>
      </c>
      <c r="Y418" s="7">
        <f ca="1">'Retirement Planning'!$F$35*((1+'Retirement Planning'!$J$24)^(YEAR('Projected Retirement Drawdown'!C418)-YEAR(TODAY())))</f>
        <v>16721.18730807419</v>
      </c>
      <c r="Z418" s="7">
        <f ca="1">G418+M418+O418+0.85*X418+V418*'Retirement Planning'!$J$46+T418</f>
        <v>18733.100267184804</v>
      </c>
      <c r="AA418" s="7">
        <f ca="1">IF(MONTH(C418)=1,(((MIN(MAX(0,((SUM(Z406:Z417)-'Retirement Planning'!$I$53-'Retirement Planning'!$I$54)-'Retirement Planning'!$J$51)*'Retirement Planning'!$I$52))))+(MIN(MAX(0,((SUM(Z406:Z417)-'Retirement Planning'!$I$53-'Retirement Planning'!$I$54)-'Retirement Planning'!$J$50)*'Retirement Planning'!$I$51),('Retirement Planning'!$J$51-'Retirement Planning'!$J$50)*'Retirement Planning'!$I$51))+(MIN(MAX(0,((SUM(Z406:Z417)-'Retirement Planning'!$I$53-'Retirement Planning'!$I$54)-'Retirement Planning'!$J$49)*'Retirement Planning'!$I$50),('Retirement Planning'!$J$50-'Retirement Planning'!$J$49)*'Retirement Planning'!$I$50)+MIN(MAX(0,((SUM(Z406:Z417)-'Retirement Planning'!$I$53-'Retirement Planning'!$I$54)-'Retirement Planning'!$J$48)*'Retirement Planning'!$I$49),('Retirement Planning'!$J$49-'Retirement Planning'!$J$48)*'Retirement Planning'!$I$49)+MIN(((SUM(Z406:Z417)-'Retirement Planning'!$I$53-'Retirement Planning'!$I$54))*'Retirement Planning'!$I$48,('Retirement Planning'!$J$48)*'Retirement Planning'!$I$48))+(IF((SUM(Z406:Z417)-'Retirement Planning'!$I$54-'Retirement Planning'!$I$61)&gt;'Retirement Planning'!$J$59,(SUM(Z406:Z417)-'Retirement Planning'!$I$54-'Retirement Planning'!$I$61-'Retirement Planning'!$J$59)*'Retirement Planning'!$I$60+'Retirement Planning'!$K$59,IF((SUM(Z406:Z417)-'Retirement Planning'!$I$54-'Retirement Planning'!$I$61)&gt;'Retirement Planning'!$J$58,(SUM(Z406:Z417)-'Retirement Planning'!$I$54-'Retirement Planning'!$I$61-'Retirement Planning'!$J$58)*'Retirement Planning'!$I$59+'Retirement Planning'!$K$58,IF((SUM(Z406:Z417)-'Retirement Planning'!$I$54-'Retirement Planning'!$I$61)&gt;'Retirement Planning'!$J$57,(SUM(Z406:Z417)-'Retirement Planning'!$I$54-'Retirement Planning'!$I$61-'Retirement Planning'!$J$57)*'Retirement Planning'!$I$58+'Retirement Planning'!$K$57,IF((SUM(Z406:Z417)-'Retirement Planning'!$I$54-'Retirement Planning'!$I$61)&gt;'Retirement Planning'!$J$56,(SUM(Z406:Z417)-'Retirement Planning'!$I$54-'Retirement Planning'!$I$61-'Retirement Planning'!$J$56)*'Retirement Planning'!$I$57+'Retirement Planning'!$K$56,(SUM(Z406:Z417)-'Retirement Planning'!$I$54-'Retirement Planning'!$I$61)*'Retirement Planning'!$I$56))))))/12,AA417)</f>
        <v>5005.9656054621582</v>
      </c>
      <c r="AB418" s="104">
        <f t="shared" ref="AB418:AB449" ca="1" si="189">AB417</f>
        <v>0.27761530706031751</v>
      </c>
      <c r="AC418" s="7">
        <f>IF(B418&lt;65,'Retirement Planning'!$J$28,0)</f>
        <v>0</v>
      </c>
      <c r="AD418" s="7">
        <f>IF(B418&lt;65,'Retirement Planning'!$J$29/12,0)</f>
        <v>0</v>
      </c>
      <c r="AE418" s="22">
        <f>'Retirement Planning'!$J$31/12</f>
        <v>58.333333333333336</v>
      </c>
      <c r="AF418" s="22">
        <f>'Retirement Planning'!$J$32/12</f>
        <v>66.666666666666671</v>
      </c>
      <c r="AG418" s="7">
        <f>IF($B418&gt;64.9,'Retirement Planning'!$J$39/12,0)</f>
        <v>183.33333333333334</v>
      </c>
      <c r="AH418" s="7">
        <f>IF($B418&gt;64.9,'Retirement Planning'!$J$40/12,0)</f>
        <v>258.33333333333331</v>
      </c>
      <c r="AI418" s="7">
        <f>IF($B418&gt;64.9,'Retirement Planning'!$J$41/12,0)</f>
        <v>558.33333333333337</v>
      </c>
      <c r="AJ418" s="7">
        <f t="shared" ca="1" si="176"/>
        <v>316.66666666666663</v>
      </c>
      <c r="AK418" s="3" t="str">
        <f t="shared" ca="1" si="162"/>
        <v>N/A</v>
      </c>
      <c r="AL418" s="6" t="str">
        <f t="shared" ca="1" si="163"/>
        <v>N/A</v>
      </c>
      <c r="AM418" s="7">
        <f t="shared" ca="1" si="177"/>
        <v>-6.8212102632969618E-13</v>
      </c>
      <c r="AN418" s="7">
        <f t="shared" ca="1" si="178"/>
        <v>22852.152913536349</v>
      </c>
      <c r="AO418" s="7">
        <f t="shared" si="179"/>
        <v>1125</v>
      </c>
    </row>
    <row r="419" spans="1:41" x14ac:dyDescent="0.2">
      <c r="A419">
        <f t="shared" si="180"/>
        <v>50</v>
      </c>
      <c r="B419" s="5">
        <f t="shared" si="181"/>
        <v>90.4</v>
      </c>
      <c r="C419" s="56">
        <f t="shared" si="182"/>
        <v>58866</v>
      </c>
      <c r="D419" s="57">
        <f ca="1">IF(AND(B418&lt;59.5,OR(B419&gt;59.5,B419=59.5)),(D418-E418+J418-K418)*(1+'Retirement Planning'!$J$23/12),(D418-E418)*(1+'Retirement Planning'!$J$23/12))</f>
        <v>1149049.858480663</v>
      </c>
      <c r="E419" s="58">
        <f t="shared" ca="1" si="171"/>
        <v>2261.6958889288289</v>
      </c>
      <c r="F419" s="57">
        <f ca="1">IF(AND(OR(B419&gt;59.5,B419=59.5),B418&lt;59.5),(F418-G418+L418-M418+N418-O418)*(1+'Retirement Planning'!$J$23/12),(F418-G418)*(1+'Retirement Planning'!$J$23/12))</f>
        <v>773353.4190529848</v>
      </c>
      <c r="G419" s="58">
        <f ca="1">IF(AND($B$10&lt;55,B419&lt;59.5),'Retirement Planning'!$J$25,IF(OR(B419&gt;59.5,B419=59.5),MAX(0,MIN(F419,IF(D419&lt;2500,((Y419+AJ419+AA419))-X419,((Y419+AJ419+AA419)*'Retirement Planning'!$J$44)-X419))),0))</f>
        <v>16641.893859964446</v>
      </c>
      <c r="H419" s="255">
        <f ca="1">IF(MONTH(C419)=1,IF(B419&gt;69.5,F419/(INDEX('Retirement Planning'!D$1:D$264,(160+INT(B419))))/12,0),IF(F419=0,0,H418))</f>
        <v>11238.41287802648</v>
      </c>
      <c r="I419" s="262">
        <f t="shared" ca="1" si="172"/>
        <v>0</v>
      </c>
      <c r="J419" s="254">
        <f ca="1">IF(AND(B418&lt;59.5,OR(B419=59.5,B419&gt;59.5)),0,(J418-K418)*(1+'Retirement Planning'!$J$23/12))</f>
        <v>0</v>
      </c>
      <c r="K419" s="58">
        <f t="shared" ca="1" si="173"/>
        <v>0</v>
      </c>
      <c r="L419" s="57">
        <f>IF(AND(OR(B419&gt;59.5,B419=59.5),B418&lt;59.5),0,(L418-M418)*(1+'Retirement Planning'!$J$23/12))</f>
        <v>0</v>
      </c>
      <c r="M419" s="59">
        <f>IF(AND($B$10&lt;55,B419&lt;59.5),0,IF(B419&lt;59.5,MAX(0,MIN((($Y419+$AJ419+AA419)*'Retirement Planning'!$J$44)-$G419-$X419,L419)),0))</f>
        <v>0</v>
      </c>
      <c r="N419" s="57">
        <f ca="1">(N418-O418)*(1+'Retirement Planning'!$J$23/12)</f>
        <v>0</v>
      </c>
      <c r="O419" s="59">
        <f ca="1">IF(B419&gt;59.5,MAX(0,MIN((AA419+$Y419+$AJ419)*(IF(D419&lt;(MIN(E407:E418)+1),1,'Retirement Planning'!$J$44))-M419-$G419-$X419-(IF(D419&lt;(MIN(E407:E418)+1),D419,0)),N419)),0)</f>
        <v>0</v>
      </c>
      <c r="P419" s="57">
        <f t="shared" si="183"/>
        <v>0</v>
      </c>
      <c r="Q419" s="58">
        <f t="shared" si="184"/>
        <v>0</v>
      </c>
      <c r="R419" s="57">
        <f ca="1">(R418-S418-T418)*(1+'Retirement Planning'!$J$23/12)</f>
        <v>1694392.5778909591</v>
      </c>
      <c r="S419" s="58">
        <f t="shared" ca="1" si="185"/>
        <v>808.33333333333337</v>
      </c>
      <c r="T419" s="273">
        <f t="shared" ca="1" si="174"/>
        <v>-2.2737367544323206E-12</v>
      </c>
      <c r="U419" s="57">
        <f ca="1">(U418-V418)*(1+'Retirement Planning'!$J$23/12)</f>
        <v>934217.84779979172</v>
      </c>
      <c r="V419" s="24">
        <f ca="1">IF(AND($B$10&lt;55,B419&lt;59.5),MIN(U419,MAX(0,(Y419+AA419+AJ419-G419)*'Retirement Planning'!$J$45)),IF(B419&lt;59.5,(MIN(U419,MAX(0,((Y419+AA419+AJ419)-G419-M419)*'Retirement Planning'!$J$45))),MIN(U419,MAX(0,(Y419+AA419+AJ419-G419-M419-K419-X419)*'Retirement Planning'!$J$45))))</f>
        <v>1926.6298313097425</v>
      </c>
      <c r="W419" s="7">
        <f t="shared" ca="1" si="175"/>
        <v>4551013.7032243991</v>
      </c>
      <c r="X419" s="7">
        <f>(IF(B419&gt;'Retirement Planning'!$J$34,IF('Retirement Planning'!$J$34=70,'Retirement Planning'!$J$37/12,IF('Retirement Planning'!$J$34=67,'Retirement Planning'!$J$36/12,'Retirement Planning'!$J$35/12)),0))*'Retirement Planning'!$J$38</f>
        <v>1213.6000000000001</v>
      </c>
      <c r="Y419" s="7">
        <f ca="1">'Retirement Planning'!$F$35*((1+'Retirement Planning'!$J$24)^(YEAR('Projected Retirement Drawdown'!C419)-YEAR(TODAY())))</f>
        <v>16721.18730807419</v>
      </c>
      <c r="Z419" s="7">
        <f ca="1">G419+M419+O419+0.85*X419+V419*'Retirement Planning'!$J$46+T419</f>
        <v>18733.100267184804</v>
      </c>
      <c r="AA419" s="7">
        <f ca="1">IF(MONTH(C419)=1,(((MIN(MAX(0,((SUM(Z407:Z418)-'Retirement Planning'!$I$53-'Retirement Planning'!$I$54)-'Retirement Planning'!$J$51)*'Retirement Planning'!$I$52))))+(MIN(MAX(0,((SUM(Z407:Z418)-'Retirement Planning'!$I$53-'Retirement Planning'!$I$54)-'Retirement Planning'!$J$50)*'Retirement Planning'!$I$51),('Retirement Planning'!$J$51-'Retirement Planning'!$J$50)*'Retirement Planning'!$I$51))+(MIN(MAX(0,((SUM(Z407:Z418)-'Retirement Planning'!$I$53-'Retirement Planning'!$I$54)-'Retirement Planning'!$J$49)*'Retirement Planning'!$I$50),('Retirement Planning'!$J$50-'Retirement Planning'!$J$49)*'Retirement Planning'!$I$50)+MIN(MAX(0,((SUM(Z407:Z418)-'Retirement Planning'!$I$53-'Retirement Planning'!$I$54)-'Retirement Planning'!$J$48)*'Retirement Planning'!$I$49),('Retirement Planning'!$J$49-'Retirement Planning'!$J$48)*'Retirement Planning'!$I$49)+MIN(((SUM(Z407:Z418)-'Retirement Planning'!$I$53-'Retirement Planning'!$I$54))*'Retirement Planning'!$I$48,('Retirement Planning'!$J$48)*'Retirement Planning'!$I$48))+(IF((SUM(Z407:Z418)-'Retirement Planning'!$I$54-'Retirement Planning'!$I$61)&gt;'Retirement Planning'!$J$59,(SUM(Z407:Z418)-'Retirement Planning'!$I$54-'Retirement Planning'!$I$61-'Retirement Planning'!$J$59)*'Retirement Planning'!$I$60+'Retirement Planning'!$K$59,IF((SUM(Z407:Z418)-'Retirement Planning'!$I$54-'Retirement Planning'!$I$61)&gt;'Retirement Planning'!$J$58,(SUM(Z407:Z418)-'Retirement Planning'!$I$54-'Retirement Planning'!$I$61-'Retirement Planning'!$J$58)*'Retirement Planning'!$I$59+'Retirement Planning'!$K$58,IF((SUM(Z407:Z418)-'Retirement Planning'!$I$54-'Retirement Planning'!$I$61)&gt;'Retirement Planning'!$J$57,(SUM(Z407:Z418)-'Retirement Planning'!$I$54-'Retirement Planning'!$I$61-'Retirement Planning'!$J$57)*'Retirement Planning'!$I$58+'Retirement Planning'!$K$57,IF((SUM(Z407:Z418)-'Retirement Planning'!$I$54-'Retirement Planning'!$I$61)&gt;'Retirement Planning'!$J$56,(SUM(Z407:Z418)-'Retirement Planning'!$I$54-'Retirement Planning'!$I$61-'Retirement Planning'!$J$56)*'Retirement Planning'!$I$57+'Retirement Planning'!$K$56,(SUM(Z407:Z418)-'Retirement Planning'!$I$54-'Retirement Planning'!$I$61)*'Retirement Planning'!$I$56))))))/12,AA418)</f>
        <v>5005.9656054621582</v>
      </c>
      <c r="AB419" s="104">
        <f t="shared" ca="1" si="164"/>
        <v>0.27761530706031751</v>
      </c>
      <c r="AC419" s="7">
        <f>IF(B419&lt;65,'Retirement Planning'!$J$28,0)</f>
        <v>0</v>
      </c>
      <c r="AD419" s="7">
        <f>IF(B419&lt;65,'Retirement Planning'!$J$29/12,0)</f>
        <v>0</v>
      </c>
      <c r="AE419" s="22">
        <f>'Retirement Planning'!$J$31/12</f>
        <v>58.333333333333336</v>
      </c>
      <c r="AF419" s="22">
        <f>'Retirement Planning'!$J$32/12</f>
        <v>66.666666666666671</v>
      </c>
      <c r="AG419" s="7">
        <f>IF($B419&gt;64.9,'Retirement Planning'!$J$39/12,0)</f>
        <v>183.33333333333334</v>
      </c>
      <c r="AH419" s="7">
        <f>IF($B419&gt;64.9,'Retirement Planning'!$J$40/12,0)</f>
        <v>258.33333333333331</v>
      </c>
      <c r="AI419" s="7">
        <f>IF($B419&gt;64.9,'Retirement Planning'!$J$41/12,0)</f>
        <v>558.33333333333337</v>
      </c>
      <c r="AJ419" s="7">
        <f t="shared" ca="1" si="176"/>
        <v>316.66666666666663</v>
      </c>
      <c r="AK419" s="3" t="str">
        <f t="shared" ca="1" si="162"/>
        <v>N/A</v>
      </c>
      <c r="AL419" s="6" t="str">
        <f t="shared" ca="1" si="163"/>
        <v>N/A</v>
      </c>
      <c r="AM419" s="7">
        <f t="shared" ca="1" si="177"/>
        <v>-6.8212102632969618E-13</v>
      </c>
      <c r="AN419" s="7">
        <f t="shared" ca="1" si="178"/>
        <v>22852.152913536349</v>
      </c>
      <c r="AO419" s="7">
        <f t="shared" si="179"/>
        <v>1125</v>
      </c>
    </row>
    <row r="420" spans="1:41" x14ac:dyDescent="0.2">
      <c r="A420">
        <f t="shared" si="180"/>
        <v>50</v>
      </c>
      <c r="B420" s="5">
        <f t="shared" si="181"/>
        <v>90.5</v>
      </c>
      <c r="C420" s="56">
        <f t="shared" si="182"/>
        <v>58897</v>
      </c>
      <c r="D420" s="57">
        <f ca="1">IF(AND(B419&lt;59.5,OR(B420&gt;59.5,B420=59.5)),(D419-E419+J419-K419)*(1+'Retirement Planning'!$J$23/12),(D419-E419)*(1+'Retirement Planning'!$J$23/12))</f>
        <v>1154911.2454100924</v>
      </c>
      <c r="E420" s="58">
        <f t="shared" ca="1" si="171"/>
        <v>2261.6958889288289</v>
      </c>
      <c r="F420" s="57">
        <f ca="1">IF(AND(OR(B420&gt;59.5,B420=59.5),B419&lt;59.5),(F419-G419+L419-M419+N419-O419)*(1+'Retirement Planning'!$J$23/12),(F419-G419)*(1+'Retirement Planning'!$J$23/12))</f>
        <v>762071.56516313762</v>
      </c>
      <c r="G420" s="58">
        <f ca="1">IF(AND($B$10&lt;55,B420&lt;59.5),'Retirement Planning'!$J$25,IF(OR(B420&gt;59.5,B420=59.5),MAX(0,MIN(F420,IF(D420&lt;2500,((Y420+AJ420+AA420))-X420,((Y420+AJ420+AA420)*'Retirement Planning'!$J$44)-X420))),0))</f>
        <v>16641.893859964446</v>
      </c>
      <c r="H420" s="255">
        <f ca="1">IF(MONTH(C420)=1,IF(B420&gt;69.5,F420/(INDEX('Retirement Planning'!D$1:D$264,(160+INT(B420))))/12,0),IF(F420=0,0,H419))</f>
        <v>11238.41287802648</v>
      </c>
      <c r="I420" s="262">
        <f t="shared" ca="1" si="172"/>
        <v>0</v>
      </c>
      <c r="J420" s="254">
        <f ca="1">IF(AND(B419&lt;59.5,OR(B420=59.5,B420&gt;59.5)),0,(J419-K419)*(1+'Retirement Planning'!$J$23/12))</f>
        <v>0</v>
      </c>
      <c r="K420" s="58">
        <f t="shared" ca="1" si="173"/>
        <v>0</v>
      </c>
      <c r="L420" s="57">
        <f>IF(AND(OR(B420&gt;59.5,B420=59.5),B419&lt;59.5),0,(L419-M419)*(1+'Retirement Planning'!$J$23/12))</f>
        <v>0</v>
      </c>
      <c r="M420" s="59">
        <f>IF(AND($B$10&lt;55,B420&lt;59.5),0,IF(B420&lt;59.5,MAX(0,MIN((($Y420+$AJ420+AA420)*'Retirement Planning'!$J$44)-$G420-$X420,L420)),0))</f>
        <v>0</v>
      </c>
      <c r="N420" s="57">
        <f ca="1">(N419-O419)*(1+'Retirement Planning'!$J$23/12)</f>
        <v>0</v>
      </c>
      <c r="O420" s="59">
        <f ca="1">IF(B420&gt;59.5,MAX(0,MIN((AA420+$Y420+$AJ420)*(IF(D420&lt;(MIN(E408:E419)+1),1,'Retirement Planning'!$J$44))-M420-$G420-$X420-(IF(D420&lt;(MIN(E408:E419)+1),D420,0)),N420)),0)</f>
        <v>0</v>
      </c>
      <c r="P420" s="57">
        <f t="shared" si="183"/>
        <v>0</v>
      </c>
      <c r="Q420" s="58">
        <f t="shared" si="184"/>
        <v>0</v>
      </c>
      <c r="R420" s="57">
        <f ca="1">(R419-S419-T419)*(1+'Retirement Planning'!$J$23/12)</f>
        <v>1705580.4662899091</v>
      </c>
      <c r="S420" s="58">
        <f t="shared" ca="1" si="185"/>
        <v>808.33333333333337</v>
      </c>
      <c r="T420" s="273">
        <f t="shared" ca="1" si="174"/>
        <v>-2.2737367544323206E-12</v>
      </c>
      <c r="U420" s="57">
        <f ca="1">(U419-V419)*(1+'Retirement Planning'!$J$23/12)</f>
        <v>938894.94742909202</v>
      </c>
      <c r="V420" s="24">
        <f ca="1">IF(AND($B$10&lt;55,B420&lt;59.5),MIN(U420,MAX(0,(Y420+AA420+AJ420-G420)*'Retirement Planning'!$J$45)),IF(B420&lt;59.5,(MIN(U420,MAX(0,((Y420+AA420+AJ420)-G420-M420)*'Retirement Planning'!$J$45))),MIN(U420,MAX(0,(Y420+AA420+AJ420-G420-M420-K420-X420)*'Retirement Planning'!$J$45))))</f>
        <v>1926.6298313097425</v>
      </c>
      <c r="W420" s="7">
        <f t="shared" ca="1" si="175"/>
        <v>4561458.2242922308</v>
      </c>
      <c r="X420" s="7">
        <f>(IF(B420&gt;'Retirement Planning'!$J$34,IF('Retirement Planning'!$J$34=70,'Retirement Planning'!$J$37/12,IF('Retirement Planning'!$J$34=67,'Retirement Planning'!$J$36/12,'Retirement Planning'!$J$35/12)),0))*'Retirement Planning'!$J$38</f>
        <v>1213.6000000000001</v>
      </c>
      <c r="Y420" s="7">
        <f ca="1">'Retirement Planning'!$F$35*((1+'Retirement Planning'!$J$24)^(YEAR('Projected Retirement Drawdown'!C420)-YEAR(TODAY())))</f>
        <v>16721.18730807419</v>
      </c>
      <c r="Z420" s="7">
        <f ca="1">G420+M420+O420+0.85*X420+V420*'Retirement Planning'!$J$46+T420</f>
        <v>18733.100267184804</v>
      </c>
      <c r="AA420" s="7">
        <f ca="1">IF(MONTH(C420)=1,(((MIN(MAX(0,((SUM(Z408:Z419)-'Retirement Planning'!$I$53-'Retirement Planning'!$I$54)-'Retirement Planning'!$J$51)*'Retirement Planning'!$I$52))))+(MIN(MAX(0,((SUM(Z408:Z419)-'Retirement Planning'!$I$53-'Retirement Planning'!$I$54)-'Retirement Planning'!$J$50)*'Retirement Planning'!$I$51),('Retirement Planning'!$J$51-'Retirement Planning'!$J$50)*'Retirement Planning'!$I$51))+(MIN(MAX(0,((SUM(Z408:Z419)-'Retirement Planning'!$I$53-'Retirement Planning'!$I$54)-'Retirement Planning'!$J$49)*'Retirement Planning'!$I$50),('Retirement Planning'!$J$50-'Retirement Planning'!$J$49)*'Retirement Planning'!$I$50)+MIN(MAX(0,((SUM(Z408:Z419)-'Retirement Planning'!$I$53-'Retirement Planning'!$I$54)-'Retirement Planning'!$J$48)*'Retirement Planning'!$I$49),('Retirement Planning'!$J$49-'Retirement Planning'!$J$48)*'Retirement Planning'!$I$49)+MIN(((SUM(Z408:Z419)-'Retirement Planning'!$I$53-'Retirement Planning'!$I$54))*'Retirement Planning'!$I$48,('Retirement Planning'!$J$48)*'Retirement Planning'!$I$48))+(IF((SUM(Z408:Z419)-'Retirement Planning'!$I$54-'Retirement Planning'!$I$61)&gt;'Retirement Planning'!$J$59,(SUM(Z408:Z419)-'Retirement Planning'!$I$54-'Retirement Planning'!$I$61-'Retirement Planning'!$J$59)*'Retirement Planning'!$I$60+'Retirement Planning'!$K$59,IF((SUM(Z408:Z419)-'Retirement Planning'!$I$54-'Retirement Planning'!$I$61)&gt;'Retirement Planning'!$J$58,(SUM(Z408:Z419)-'Retirement Planning'!$I$54-'Retirement Planning'!$I$61-'Retirement Planning'!$J$58)*'Retirement Planning'!$I$59+'Retirement Planning'!$K$58,IF((SUM(Z408:Z419)-'Retirement Planning'!$I$54-'Retirement Planning'!$I$61)&gt;'Retirement Planning'!$J$57,(SUM(Z408:Z419)-'Retirement Planning'!$I$54-'Retirement Planning'!$I$61-'Retirement Planning'!$J$57)*'Retirement Planning'!$I$58+'Retirement Planning'!$K$57,IF((SUM(Z408:Z419)-'Retirement Planning'!$I$54-'Retirement Planning'!$I$61)&gt;'Retirement Planning'!$J$56,(SUM(Z408:Z419)-'Retirement Planning'!$I$54-'Retirement Planning'!$I$61-'Retirement Planning'!$J$56)*'Retirement Planning'!$I$57+'Retirement Planning'!$K$56,(SUM(Z408:Z419)-'Retirement Planning'!$I$54-'Retirement Planning'!$I$61)*'Retirement Planning'!$I$56))))))/12,AA419)</f>
        <v>5005.9656054621582</v>
      </c>
      <c r="AB420" s="104">
        <f t="shared" ca="1" si="164"/>
        <v>0.27761530706031751</v>
      </c>
      <c r="AC420" s="7">
        <f>IF(B420&lt;65,'Retirement Planning'!$J$28,0)</f>
        <v>0</v>
      </c>
      <c r="AD420" s="7">
        <f>IF(B420&lt;65,'Retirement Planning'!$J$29/12,0)</f>
        <v>0</v>
      </c>
      <c r="AE420" s="22">
        <f>'Retirement Planning'!$J$31/12</f>
        <v>58.333333333333336</v>
      </c>
      <c r="AF420" s="22">
        <f>'Retirement Planning'!$J$32/12</f>
        <v>66.666666666666671</v>
      </c>
      <c r="AG420" s="7">
        <f>IF($B420&gt;64.9,'Retirement Planning'!$J$39/12,0)</f>
        <v>183.33333333333334</v>
      </c>
      <c r="AH420" s="7">
        <f>IF($B420&gt;64.9,'Retirement Planning'!$J$40/12,0)</f>
        <v>258.33333333333331</v>
      </c>
      <c r="AI420" s="7">
        <f>IF($B420&gt;64.9,'Retirement Planning'!$J$41/12,0)</f>
        <v>558.33333333333337</v>
      </c>
      <c r="AJ420" s="7">
        <f t="shared" ca="1" si="176"/>
        <v>316.66666666666663</v>
      </c>
      <c r="AK420" s="3" t="str">
        <f t="shared" ca="1" si="162"/>
        <v>N/A</v>
      </c>
      <c r="AL420" s="6" t="str">
        <f t="shared" ca="1" si="163"/>
        <v>N/A</v>
      </c>
      <c r="AM420" s="7">
        <f t="shared" ca="1" si="177"/>
        <v>-6.8212102632969618E-13</v>
      </c>
      <c r="AN420" s="7">
        <f t="shared" ca="1" si="178"/>
        <v>22852.152913536349</v>
      </c>
      <c r="AO420" s="7">
        <f t="shared" si="179"/>
        <v>1125</v>
      </c>
    </row>
    <row r="421" spans="1:41" x14ac:dyDescent="0.2">
      <c r="A421">
        <f t="shared" si="180"/>
        <v>50</v>
      </c>
      <c r="B421" s="5">
        <f t="shared" si="181"/>
        <v>90.5</v>
      </c>
      <c r="C421" s="56">
        <f t="shared" si="182"/>
        <v>58927</v>
      </c>
      <c r="D421" s="57">
        <f ca="1">IF(AND(B420&lt;59.5,OR(B421&gt;59.5,B421=59.5)),(D420-E420+J420-K420)*(1+'Retirement Planning'!$J$23/12),(D420-E420)*(1+'Retirement Planning'!$J$23/12))</f>
        <v>1160814.1504969385</v>
      </c>
      <c r="E421" s="58">
        <f t="shared" ca="1" si="171"/>
        <v>2261.6958889288289</v>
      </c>
      <c r="F421" s="57">
        <f ca="1">IF(AND(OR(B421&gt;59.5,B421=59.5),B420&lt;59.5),(F420-G420+L420-M420+N420-O420)*(1+'Retirement Planning'!$J$23/12),(F420-G420)*(1+'Retirement Planning'!$J$23/12))</f>
        <v>750709.79814157065</v>
      </c>
      <c r="G421" s="58">
        <f ca="1">IF(AND($B$10&lt;55,B421&lt;59.5),'Retirement Planning'!$J$25,IF(OR(B421&gt;59.5,B421=59.5),MAX(0,MIN(F421,IF(D421&lt;2500,((Y421+AJ421+AA421))-X421,((Y421+AJ421+AA421)*'Retirement Planning'!$J$44)-X421))),0))</f>
        <v>16641.893859964446</v>
      </c>
      <c r="H421" s="255">
        <f ca="1">IF(MONTH(C421)=1,IF(B421&gt;69.5,F421/(INDEX('Retirement Planning'!D$1:D$264,(160+INT(B421))))/12,0),IF(F421=0,0,H420))</f>
        <v>11238.41287802648</v>
      </c>
      <c r="I421" s="262">
        <f t="shared" ca="1" si="172"/>
        <v>0</v>
      </c>
      <c r="J421" s="254">
        <f ca="1">IF(AND(B420&lt;59.5,OR(B421=59.5,B421&gt;59.5)),0,(J420-K420)*(1+'Retirement Planning'!$J$23/12))</f>
        <v>0</v>
      </c>
      <c r="K421" s="58">
        <f t="shared" ca="1" si="173"/>
        <v>0</v>
      </c>
      <c r="L421" s="57">
        <f>IF(AND(OR(B421&gt;59.5,B421=59.5),B420&lt;59.5),0,(L420-M420)*(1+'Retirement Planning'!$J$23/12))</f>
        <v>0</v>
      </c>
      <c r="M421" s="59">
        <f>IF(AND($B$10&lt;55,B421&lt;59.5),0,IF(B421&lt;59.5,MAX(0,MIN((($Y421+$AJ421+AA421)*'Retirement Planning'!$J$44)-$G421-$X421,L421)),0))</f>
        <v>0</v>
      </c>
      <c r="N421" s="57">
        <f ca="1">(N420-O420)*(1+'Retirement Planning'!$J$23/12)</f>
        <v>0</v>
      </c>
      <c r="O421" s="59">
        <f ca="1">IF(B421&gt;59.5,MAX(0,MIN((AA421+$Y421+$AJ421)*(IF(D421&lt;(MIN(E409:E420)+1),1,'Retirement Planning'!$J$44))-M421-$G421-$X421-(IF(D421&lt;(MIN(E409:E420)+1),D421,0)),N421)),0)</f>
        <v>0</v>
      </c>
      <c r="P421" s="57">
        <f t="shared" si="183"/>
        <v>0</v>
      </c>
      <c r="Q421" s="58">
        <f t="shared" si="184"/>
        <v>0</v>
      </c>
      <c r="R421" s="57">
        <f ca="1">(R420-S420-T420)*(1+'Retirement Planning'!$J$23/12)</f>
        <v>1716847.6022316848</v>
      </c>
      <c r="S421" s="58">
        <f t="shared" ca="1" si="185"/>
        <v>808.33333333333337</v>
      </c>
      <c r="T421" s="273">
        <f t="shared" ca="1" si="174"/>
        <v>-2.2737367544323206E-12</v>
      </c>
      <c r="U421" s="57">
        <f ca="1">(U420-V420)*(1+'Retirement Planning'!$J$23/12)</f>
        <v>943605.17651409982</v>
      </c>
      <c r="V421" s="24">
        <f ca="1">IF(AND($B$10&lt;55,B421&lt;59.5),MIN(U421,MAX(0,(Y421+AA421+AJ421-G421)*'Retirement Planning'!$J$45)),IF(B421&lt;59.5,(MIN(U421,MAX(0,((Y421+AA421+AJ421)-G421-M421)*'Retirement Planning'!$J$45))),MIN(U421,MAX(0,(Y421+AA421+AJ421-G421-M421-K421-X421)*'Retirement Planning'!$J$45))))</f>
        <v>1926.6298313097425</v>
      </c>
      <c r="W421" s="7">
        <f t="shared" ca="1" si="175"/>
        <v>4571976.7273842935</v>
      </c>
      <c r="X421" s="7">
        <f>(IF(B421&gt;'Retirement Planning'!$J$34,IF('Retirement Planning'!$J$34=70,'Retirement Planning'!$J$37/12,IF('Retirement Planning'!$J$34=67,'Retirement Planning'!$J$36/12,'Retirement Planning'!$J$35/12)),0))*'Retirement Planning'!$J$38</f>
        <v>1213.6000000000001</v>
      </c>
      <c r="Y421" s="7">
        <f ca="1">'Retirement Planning'!$F$35*((1+'Retirement Planning'!$J$24)^(YEAR('Projected Retirement Drawdown'!C421)-YEAR(TODAY())))</f>
        <v>16721.18730807419</v>
      </c>
      <c r="Z421" s="7">
        <f ca="1">G421+M421+O421+0.85*X421+V421*'Retirement Planning'!$J$46+T421</f>
        <v>18733.100267184804</v>
      </c>
      <c r="AA421" s="7">
        <f ca="1">IF(MONTH(C421)=1,(((MIN(MAX(0,((SUM(Z409:Z420)-'Retirement Planning'!$I$53-'Retirement Planning'!$I$54)-'Retirement Planning'!$J$51)*'Retirement Planning'!$I$52))))+(MIN(MAX(0,((SUM(Z409:Z420)-'Retirement Planning'!$I$53-'Retirement Planning'!$I$54)-'Retirement Planning'!$J$50)*'Retirement Planning'!$I$51),('Retirement Planning'!$J$51-'Retirement Planning'!$J$50)*'Retirement Planning'!$I$51))+(MIN(MAX(0,((SUM(Z409:Z420)-'Retirement Planning'!$I$53-'Retirement Planning'!$I$54)-'Retirement Planning'!$J$49)*'Retirement Planning'!$I$50),('Retirement Planning'!$J$50-'Retirement Planning'!$J$49)*'Retirement Planning'!$I$50)+MIN(MAX(0,((SUM(Z409:Z420)-'Retirement Planning'!$I$53-'Retirement Planning'!$I$54)-'Retirement Planning'!$J$48)*'Retirement Planning'!$I$49),('Retirement Planning'!$J$49-'Retirement Planning'!$J$48)*'Retirement Planning'!$I$49)+MIN(((SUM(Z409:Z420)-'Retirement Planning'!$I$53-'Retirement Planning'!$I$54))*'Retirement Planning'!$I$48,('Retirement Planning'!$J$48)*'Retirement Planning'!$I$48))+(IF((SUM(Z409:Z420)-'Retirement Planning'!$I$54-'Retirement Planning'!$I$61)&gt;'Retirement Planning'!$J$59,(SUM(Z409:Z420)-'Retirement Planning'!$I$54-'Retirement Planning'!$I$61-'Retirement Planning'!$J$59)*'Retirement Planning'!$I$60+'Retirement Planning'!$K$59,IF((SUM(Z409:Z420)-'Retirement Planning'!$I$54-'Retirement Planning'!$I$61)&gt;'Retirement Planning'!$J$58,(SUM(Z409:Z420)-'Retirement Planning'!$I$54-'Retirement Planning'!$I$61-'Retirement Planning'!$J$58)*'Retirement Planning'!$I$59+'Retirement Planning'!$K$58,IF((SUM(Z409:Z420)-'Retirement Planning'!$I$54-'Retirement Planning'!$I$61)&gt;'Retirement Planning'!$J$57,(SUM(Z409:Z420)-'Retirement Planning'!$I$54-'Retirement Planning'!$I$61-'Retirement Planning'!$J$57)*'Retirement Planning'!$I$58+'Retirement Planning'!$K$57,IF((SUM(Z409:Z420)-'Retirement Planning'!$I$54-'Retirement Planning'!$I$61)&gt;'Retirement Planning'!$J$56,(SUM(Z409:Z420)-'Retirement Planning'!$I$54-'Retirement Planning'!$I$61-'Retirement Planning'!$J$56)*'Retirement Planning'!$I$57+'Retirement Planning'!$K$56,(SUM(Z409:Z420)-'Retirement Planning'!$I$54-'Retirement Planning'!$I$61)*'Retirement Planning'!$I$56))))))/12,AA420)</f>
        <v>5005.9656054621582</v>
      </c>
      <c r="AB421" s="104">
        <f t="shared" ca="1" si="164"/>
        <v>0.27761530706031751</v>
      </c>
      <c r="AC421" s="7">
        <f>IF(B421&lt;65,'Retirement Planning'!$J$28,0)</f>
        <v>0</v>
      </c>
      <c r="AD421" s="7">
        <f>IF(B421&lt;65,'Retirement Planning'!$J$29/12,0)</f>
        <v>0</v>
      </c>
      <c r="AE421" s="22">
        <f>'Retirement Planning'!$J$31/12</f>
        <v>58.333333333333336</v>
      </c>
      <c r="AF421" s="22">
        <f>'Retirement Planning'!$J$32/12</f>
        <v>66.666666666666671</v>
      </c>
      <c r="AG421" s="7">
        <f>IF($B421&gt;64.9,'Retirement Planning'!$J$39/12,0)</f>
        <v>183.33333333333334</v>
      </c>
      <c r="AH421" s="7">
        <f>IF($B421&gt;64.9,'Retirement Planning'!$J$40/12,0)</f>
        <v>258.33333333333331</v>
      </c>
      <c r="AI421" s="7">
        <f>IF($B421&gt;64.9,'Retirement Planning'!$J$41/12,0)</f>
        <v>558.33333333333337</v>
      </c>
      <c r="AJ421" s="7">
        <f t="shared" ca="1" si="176"/>
        <v>316.66666666666663</v>
      </c>
      <c r="AK421" s="3" t="str">
        <f t="shared" ca="1" si="162"/>
        <v>N/A</v>
      </c>
      <c r="AL421" s="6" t="str">
        <f t="shared" ca="1" si="163"/>
        <v>N/A</v>
      </c>
      <c r="AM421" s="7">
        <f t="shared" ca="1" si="177"/>
        <v>-6.8212102632969618E-13</v>
      </c>
      <c r="AN421" s="7">
        <f t="shared" ca="1" si="178"/>
        <v>22852.152913536349</v>
      </c>
      <c r="AO421" s="7">
        <f t="shared" si="179"/>
        <v>1125</v>
      </c>
    </row>
    <row r="422" spans="1:41" x14ac:dyDescent="0.2">
      <c r="A422">
        <f t="shared" si="180"/>
        <v>50</v>
      </c>
      <c r="B422" s="5">
        <f t="shared" si="181"/>
        <v>90.6</v>
      </c>
      <c r="C422" s="56">
        <f t="shared" si="182"/>
        <v>58958</v>
      </c>
      <c r="D422" s="57">
        <f ca="1">IF(AND(B421&lt;59.5,OR(B422&gt;59.5,B422=59.5)),(D421-E421+J421-K421)*(1+'Retirement Planning'!$J$23/12),(D421-E421)*(1+'Retirement Planning'!$J$23/12))</f>
        <v>1166758.8678281498</v>
      </c>
      <c r="E422" s="58">
        <f t="shared" ca="1" si="171"/>
        <v>2261.6958889288289</v>
      </c>
      <c r="F422" s="57">
        <f ca="1">IF(AND(OR(B422&gt;59.5,B422=59.5),B421&lt;59.5),(F421-G421+L421-M421+N421-O421)*(1+'Retirement Planning'!$J$23/12),(F421-G421)*(1+'Retirement Planning'!$J$23/12))</f>
        <v>739267.55193693424</v>
      </c>
      <c r="G422" s="58">
        <f ca="1">IF(AND($B$10&lt;55,B422&lt;59.5),'Retirement Planning'!$J$25,IF(OR(B422&gt;59.5,B422=59.5),MAX(0,MIN(F422,IF(D422&lt;2500,((Y422+AJ422+AA422))-X422,((Y422+AJ422+AA422)*'Retirement Planning'!$J$44)-X422))),0))</f>
        <v>16641.893859964446</v>
      </c>
      <c r="H422" s="255">
        <f ca="1">IF(MONTH(C422)=1,IF(B422&gt;69.5,F422/(INDEX('Retirement Planning'!D$1:D$264,(160+INT(B422))))/12,0),IF(F422=0,0,H421))</f>
        <v>11238.41287802648</v>
      </c>
      <c r="I422" s="262">
        <f t="shared" ca="1" si="172"/>
        <v>0</v>
      </c>
      <c r="J422" s="254">
        <f ca="1">IF(AND(B421&lt;59.5,OR(B422=59.5,B422&gt;59.5)),0,(J421-K421)*(1+'Retirement Planning'!$J$23/12))</f>
        <v>0</v>
      </c>
      <c r="K422" s="58">
        <f t="shared" ca="1" si="173"/>
        <v>0</v>
      </c>
      <c r="L422" s="57">
        <f>IF(AND(OR(B422&gt;59.5,B422=59.5),B421&lt;59.5),0,(L421-M421)*(1+'Retirement Planning'!$J$23/12))</f>
        <v>0</v>
      </c>
      <c r="M422" s="59">
        <f>IF(AND($B$10&lt;55,B422&lt;59.5),0,IF(B422&lt;59.5,MAX(0,MIN((($Y422+$AJ422+AA422)*'Retirement Planning'!$J$44)-$G422-$X422,L422)),0))</f>
        <v>0</v>
      </c>
      <c r="N422" s="57">
        <f ca="1">(N421-O421)*(1+'Retirement Planning'!$J$23/12)</f>
        <v>0</v>
      </c>
      <c r="O422" s="59">
        <f ca="1">IF(B422&gt;59.5,MAX(0,MIN((AA422+$Y422+$AJ422)*(IF(D422&lt;(MIN(E410:E421)+1),1,'Retirement Planning'!$J$44))-M422-$G422-$X422-(IF(D422&lt;(MIN(E410:E421)+1),D422,0)),N422)),0)</f>
        <v>0</v>
      </c>
      <c r="P422" s="57">
        <f t="shared" si="183"/>
        <v>0</v>
      </c>
      <c r="Q422" s="58">
        <f t="shared" si="184"/>
        <v>0</v>
      </c>
      <c r="R422" s="57">
        <f ca="1">(R421-S421-T421)*(1+'Retirement Planning'!$J$23/12)</f>
        <v>1728194.5470530482</v>
      </c>
      <c r="S422" s="58">
        <f t="shared" ca="1" si="185"/>
        <v>808.33333333333337</v>
      </c>
      <c r="T422" s="273">
        <f t="shared" ca="1" si="174"/>
        <v>-2.2737367544323206E-12</v>
      </c>
      <c r="U422" s="57">
        <f ca="1">(U421-V421)*(1+'Retirement Planning'!$J$23/12)</f>
        <v>948348.76972179313</v>
      </c>
      <c r="V422" s="24">
        <f ca="1">IF(AND($B$10&lt;55,B422&lt;59.5),MIN(U422,MAX(0,(Y422+AA422+AJ422-G422)*'Retirement Planning'!$J$45)),IF(B422&lt;59.5,(MIN(U422,MAX(0,((Y422+AA422+AJ422)-G422-M422)*'Retirement Planning'!$J$45))),MIN(U422,MAX(0,(Y422+AA422+AJ422-G422-M422-K422-X422)*'Retirement Planning'!$J$45))))</f>
        <v>1926.6298313097425</v>
      </c>
      <c r="W422" s="7">
        <f t="shared" ca="1" si="175"/>
        <v>4582569.7365399254</v>
      </c>
      <c r="X422" s="7">
        <f>(IF(B422&gt;'Retirement Planning'!$J$34,IF('Retirement Planning'!$J$34=70,'Retirement Planning'!$J$37/12,IF('Retirement Planning'!$J$34=67,'Retirement Planning'!$J$36/12,'Retirement Planning'!$J$35/12)),0))*'Retirement Planning'!$J$38</f>
        <v>1213.6000000000001</v>
      </c>
      <c r="Y422" s="7">
        <f ca="1">'Retirement Planning'!$F$35*((1+'Retirement Planning'!$J$24)^(YEAR('Projected Retirement Drawdown'!C422)-YEAR(TODAY())))</f>
        <v>16721.18730807419</v>
      </c>
      <c r="Z422" s="7">
        <f ca="1">G422+M422+O422+0.85*X422+V422*'Retirement Planning'!$J$46+T422</f>
        <v>18733.100267184804</v>
      </c>
      <c r="AA422" s="7">
        <f ca="1">IF(MONTH(C422)=1,(((MIN(MAX(0,((SUM(Z410:Z421)-'Retirement Planning'!$I$53-'Retirement Planning'!$I$54)-'Retirement Planning'!$J$51)*'Retirement Planning'!$I$52))))+(MIN(MAX(0,((SUM(Z410:Z421)-'Retirement Planning'!$I$53-'Retirement Planning'!$I$54)-'Retirement Planning'!$J$50)*'Retirement Planning'!$I$51),('Retirement Planning'!$J$51-'Retirement Planning'!$J$50)*'Retirement Planning'!$I$51))+(MIN(MAX(0,((SUM(Z410:Z421)-'Retirement Planning'!$I$53-'Retirement Planning'!$I$54)-'Retirement Planning'!$J$49)*'Retirement Planning'!$I$50),('Retirement Planning'!$J$50-'Retirement Planning'!$J$49)*'Retirement Planning'!$I$50)+MIN(MAX(0,((SUM(Z410:Z421)-'Retirement Planning'!$I$53-'Retirement Planning'!$I$54)-'Retirement Planning'!$J$48)*'Retirement Planning'!$I$49),('Retirement Planning'!$J$49-'Retirement Planning'!$J$48)*'Retirement Planning'!$I$49)+MIN(((SUM(Z410:Z421)-'Retirement Planning'!$I$53-'Retirement Planning'!$I$54))*'Retirement Planning'!$I$48,('Retirement Planning'!$J$48)*'Retirement Planning'!$I$48))+(IF((SUM(Z410:Z421)-'Retirement Planning'!$I$54-'Retirement Planning'!$I$61)&gt;'Retirement Planning'!$J$59,(SUM(Z410:Z421)-'Retirement Planning'!$I$54-'Retirement Planning'!$I$61-'Retirement Planning'!$J$59)*'Retirement Planning'!$I$60+'Retirement Planning'!$K$59,IF((SUM(Z410:Z421)-'Retirement Planning'!$I$54-'Retirement Planning'!$I$61)&gt;'Retirement Planning'!$J$58,(SUM(Z410:Z421)-'Retirement Planning'!$I$54-'Retirement Planning'!$I$61-'Retirement Planning'!$J$58)*'Retirement Planning'!$I$59+'Retirement Planning'!$K$58,IF((SUM(Z410:Z421)-'Retirement Planning'!$I$54-'Retirement Planning'!$I$61)&gt;'Retirement Planning'!$J$57,(SUM(Z410:Z421)-'Retirement Planning'!$I$54-'Retirement Planning'!$I$61-'Retirement Planning'!$J$57)*'Retirement Planning'!$I$58+'Retirement Planning'!$K$57,IF((SUM(Z410:Z421)-'Retirement Planning'!$I$54-'Retirement Planning'!$I$61)&gt;'Retirement Planning'!$J$56,(SUM(Z410:Z421)-'Retirement Planning'!$I$54-'Retirement Planning'!$I$61-'Retirement Planning'!$J$56)*'Retirement Planning'!$I$57+'Retirement Planning'!$K$56,(SUM(Z410:Z421)-'Retirement Planning'!$I$54-'Retirement Planning'!$I$61)*'Retirement Planning'!$I$56))))))/12,AA421)</f>
        <v>5005.9656054621582</v>
      </c>
      <c r="AB422" s="104">
        <f t="shared" ca="1" si="164"/>
        <v>0.27761530706031751</v>
      </c>
      <c r="AC422" s="7">
        <f>IF(B422&lt;65,'Retirement Planning'!$J$28,0)</f>
        <v>0</v>
      </c>
      <c r="AD422" s="7">
        <f>IF(B422&lt;65,'Retirement Planning'!$J$29/12,0)</f>
        <v>0</v>
      </c>
      <c r="AE422" s="22">
        <f>'Retirement Planning'!$J$31/12</f>
        <v>58.333333333333336</v>
      </c>
      <c r="AF422" s="22">
        <f>'Retirement Planning'!$J$32/12</f>
        <v>66.666666666666671</v>
      </c>
      <c r="AG422" s="7">
        <f>IF($B422&gt;64.9,'Retirement Planning'!$J$39/12,0)</f>
        <v>183.33333333333334</v>
      </c>
      <c r="AH422" s="7">
        <f>IF($B422&gt;64.9,'Retirement Planning'!$J$40/12,0)</f>
        <v>258.33333333333331</v>
      </c>
      <c r="AI422" s="7">
        <f>IF($B422&gt;64.9,'Retirement Planning'!$J$41/12,0)</f>
        <v>558.33333333333337</v>
      </c>
      <c r="AJ422" s="7">
        <f t="shared" ca="1" si="176"/>
        <v>316.66666666666663</v>
      </c>
      <c r="AK422" s="3" t="str">
        <f t="shared" ca="1" si="162"/>
        <v>N/A</v>
      </c>
      <c r="AL422" s="6" t="str">
        <f t="shared" ca="1" si="163"/>
        <v>N/A</v>
      </c>
      <c r="AM422" s="7">
        <f t="shared" ca="1" si="177"/>
        <v>-6.8212102632969618E-13</v>
      </c>
      <c r="AN422" s="7">
        <f t="shared" ca="1" si="178"/>
        <v>22852.152913536349</v>
      </c>
      <c r="AO422" s="7">
        <f t="shared" si="179"/>
        <v>1125</v>
      </c>
    </row>
    <row r="423" spans="1:41" x14ac:dyDescent="0.2">
      <c r="A423">
        <f t="shared" si="180"/>
        <v>50</v>
      </c>
      <c r="B423" s="5">
        <f t="shared" si="181"/>
        <v>90.7</v>
      </c>
      <c r="C423" s="56">
        <f t="shared" si="182"/>
        <v>58988</v>
      </c>
      <c r="D423" s="57">
        <f ca="1">IF(AND(B422&lt;59.5,OR(B423&gt;59.5,B423=59.5)),(D422-E422+J422-K422)*(1+'Retirement Planning'!$J$23/12),(D422-E422)*(1+'Retirement Planning'!$J$23/12))</f>
        <v>1172745.6935737904</v>
      </c>
      <c r="E423" s="58">
        <f t="shared" ca="1" si="171"/>
        <v>2261.6958889288289</v>
      </c>
      <c r="F423" s="57">
        <f ca="1">IF(AND(OR(B423&gt;59.5,B423=59.5),B422&lt;59.5),(F422-G422+L422-M422+N422-O422)*(1+'Retirement Planning'!$J$23/12),(F422-G422)*(1+'Retirement Planning'!$J$23/12))</f>
        <v>727744.25648834836</v>
      </c>
      <c r="G423" s="58">
        <f ca="1">IF(AND($B$10&lt;55,B423&lt;59.5),'Retirement Planning'!$J$25,IF(OR(B423&gt;59.5,B423=59.5),MAX(0,MIN(F423,IF(D423&lt;2500,((Y423+AJ423+AA423))-X423,((Y423+AJ423+AA423)*'Retirement Planning'!$J$44)-X423))),0))</f>
        <v>16641.893859964446</v>
      </c>
      <c r="H423" s="255">
        <f ca="1">IF(MONTH(C423)=1,IF(B423&gt;69.5,F423/(INDEX('Retirement Planning'!D$1:D$264,(160+INT(B423))))/12,0),IF(F423=0,0,H422))</f>
        <v>11238.41287802648</v>
      </c>
      <c r="I423" s="262">
        <f t="shared" ca="1" si="172"/>
        <v>0</v>
      </c>
      <c r="J423" s="254">
        <f ca="1">IF(AND(B422&lt;59.5,OR(B423=59.5,B423&gt;59.5)),0,(J422-K422)*(1+'Retirement Planning'!$J$23/12))</f>
        <v>0</v>
      </c>
      <c r="K423" s="58">
        <f t="shared" ca="1" si="173"/>
        <v>0</v>
      </c>
      <c r="L423" s="57">
        <f>IF(AND(OR(B423&gt;59.5,B423=59.5),B422&lt;59.5),0,(L422-M422)*(1+'Retirement Planning'!$J$23/12))</f>
        <v>0</v>
      </c>
      <c r="M423" s="59">
        <f>IF(AND($B$10&lt;55,B423&lt;59.5),0,IF(B423&lt;59.5,MAX(0,MIN((($Y423+$AJ423+AA423)*'Retirement Planning'!$J$44)-$G423-$X423,L423)),0))</f>
        <v>0</v>
      </c>
      <c r="N423" s="57">
        <f ca="1">(N422-O422)*(1+'Retirement Planning'!$J$23/12)</f>
        <v>0</v>
      </c>
      <c r="O423" s="59">
        <f ca="1">IF(B423&gt;59.5,MAX(0,MIN((AA423+$Y423+$AJ423)*(IF(D423&lt;(MIN(E411:E422)+1),1,'Retirement Planning'!$J$44))-M423-$G423-$X423-(IF(D423&lt;(MIN(E411:E422)+1),D423,0)),N423)),0)</f>
        <v>0</v>
      </c>
      <c r="P423" s="57">
        <f t="shared" si="183"/>
        <v>0</v>
      </c>
      <c r="Q423" s="58">
        <f t="shared" si="184"/>
        <v>0</v>
      </c>
      <c r="R423" s="57">
        <f ca="1">(R422-S422-T422)*(1+'Retirement Planning'!$J$23/12)</f>
        <v>1739621.8660668961</v>
      </c>
      <c r="S423" s="58">
        <f t="shared" ca="1" si="185"/>
        <v>808.33333333333337</v>
      </c>
      <c r="T423" s="273">
        <f t="shared" ca="1" si="174"/>
        <v>-2.2737367544323206E-12</v>
      </c>
      <c r="U423" s="57">
        <f ca="1">(U422-V422)*(1+'Retirement Planning'!$J$23/12)</f>
        <v>953125.96338137425</v>
      </c>
      <c r="V423" s="24">
        <f ca="1">IF(AND($B$10&lt;55,B423&lt;59.5),MIN(U423,MAX(0,(Y423+AA423+AJ423-G423)*'Retirement Planning'!$J$45)),IF(B423&lt;59.5,(MIN(U423,MAX(0,((Y423+AA423+AJ423)-G423-M423)*'Retirement Planning'!$J$45))),MIN(U423,MAX(0,(Y423+AA423+AJ423-G423-M423-K423-X423)*'Retirement Planning'!$J$45))))</f>
        <v>1926.6298313097425</v>
      </c>
      <c r="W423" s="7">
        <f t="shared" ca="1" si="175"/>
        <v>4593237.7795104086</v>
      </c>
      <c r="X423" s="7">
        <f>(IF(B423&gt;'Retirement Planning'!$J$34,IF('Retirement Planning'!$J$34=70,'Retirement Planning'!$J$37/12,IF('Retirement Planning'!$J$34=67,'Retirement Planning'!$J$36/12,'Retirement Planning'!$J$35/12)),0))*'Retirement Planning'!$J$38</f>
        <v>1213.6000000000001</v>
      </c>
      <c r="Y423" s="7">
        <f ca="1">'Retirement Planning'!$F$35*((1+'Retirement Planning'!$J$24)^(YEAR('Projected Retirement Drawdown'!C423)-YEAR(TODAY())))</f>
        <v>16721.18730807419</v>
      </c>
      <c r="Z423" s="7">
        <f ca="1">G423+M423+O423+0.85*X423+V423*'Retirement Planning'!$J$46+T423</f>
        <v>18733.100267184804</v>
      </c>
      <c r="AA423" s="7">
        <f ca="1">IF(MONTH(C423)=1,(((MIN(MAX(0,((SUM(Z411:Z422)-'Retirement Planning'!$I$53-'Retirement Planning'!$I$54)-'Retirement Planning'!$J$51)*'Retirement Planning'!$I$52))))+(MIN(MAX(0,((SUM(Z411:Z422)-'Retirement Planning'!$I$53-'Retirement Planning'!$I$54)-'Retirement Planning'!$J$50)*'Retirement Planning'!$I$51),('Retirement Planning'!$J$51-'Retirement Planning'!$J$50)*'Retirement Planning'!$I$51))+(MIN(MAX(0,((SUM(Z411:Z422)-'Retirement Planning'!$I$53-'Retirement Planning'!$I$54)-'Retirement Planning'!$J$49)*'Retirement Planning'!$I$50),('Retirement Planning'!$J$50-'Retirement Planning'!$J$49)*'Retirement Planning'!$I$50)+MIN(MAX(0,((SUM(Z411:Z422)-'Retirement Planning'!$I$53-'Retirement Planning'!$I$54)-'Retirement Planning'!$J$48)*'Retirement Planning'!$I$49),('Retirement Planning'!$J$49-'Retirement Planning'!$J$48)*'Retirement Planning'!$I$49)+MIN(((SUM(Z411:Z422)-'Retirement Planning'!$I$53-'Retirement Planning'!$I$54))*'Retirement Planning'!$I$48,('Retirement Planning'!$J$48)*'Retirement Planning'!$I$48))+(IF((SUM(Z411:Z422)-'Retirement Planning'!$I$54-'Retirement Planning'!$I$61)&gt;'Retirement Planning'!$J$59,(SUM(Z411:Z422)-'Retirement Planning'!$I$54-'Retirement Planning'!$I$61-'Retirement Planning'!$J$59)*'Retirement Planning'!$I$60+'Retirement Planning'!$K$59,IF((SUM(Z411:Z422)-'Retirement Planning'!$I$54-'Retirement Planning'!$I$61)&gt;'Retirement Planning'!$J$58,(SUM(Z411:Z422)-'Retirement Planning'!$I$54-'Retirement Planning'!$I$61-'Retirement Planning'!$J$58)*'Retirement Planning'!$I$59+'Retirement Planning'!$K$58,IF((SUM(Z411:Z422)-'Retirement Planning'!$I$54-'Retirement Planning'!$I$61)&gt;'Retirement Planning'!$J$57,(SUM(Z411:Z422)-'Retirement Planning'!$I$54-'Retirement Planning'!$I$61-'Retirement Planning'!$J$57)*'Retirement Planning'!$I$58+'Retirement Planning'!$K$57,IF((SUM(Z411:Z422)-'Retirement Planning'!$I$54-'Retirement Planning'!$I$61)&gt;'Retirement Planning'!$J$56,(SUM(Z411:Z422)-'Retirement Planning'!$I$54-'Retirement Planning'!$I$61-'Retirement Planning'!$J$56)*'Retirement Planning'!$I$57+'Retirement Planning'!$K$56,(SUM(Z411:Z422)-'Retirement Planning'!$I$54-'Retirement Planning'!$I$61)*'Retirement Planning'!$I$56))))))/12,AA422)</f>
        <v>5005.9656054621582</v>
      </c>
      <c r="AB423" s="104">
        <f t="shared" ca="1" si="164"/>
        <v>0.27761530706031751</v>
      </c>
      <c r="AC423" s="7">
        <f>IF(B423&lt;65,'Retirement Planning'!$J$28,0)</f>
        <v>0</v>
      </c>
      <c r="AD423" s="7">
        <f>IF(B423&lt;65,'Retirement Planning'!$J$29/12,0)</f>
        <v>0</v>
      </c>
      <c r="AE423" s="22">
        <f>'Retirement Planning'!$J$31/12</f>
        <v>58.333333333333336</v>
      </c>
      <c r="AF423" s="22">
        <f>'Retirement Planning'!$J$32/12</f>
        <v>66.666666666666671</v>
      </c>
      <c r="AG423" s="7">
        <f>IF($B423&gt;64.9,'Retirement Planning'!$J$39/12,0)</f>
        <v>183.33333333333334</v>
      </c>
      <c r="AH423" s="7">
        <f>IF($B423&gt;64.9,'Retirement Planning'!$J$40/12,0)</f>
        <v>258.33333333333331</v>
      </c>
      <c r="AI423" s="7">
        <f>IF($B423&gt;64.9,'Retirement Planning'!$J$41/12,0)</f>
        <v>558.33333333333337</v>
      </c>
      <c r="AJ423" s="7">
        <f t="shared" ca="1" si="176"/>
        <v>316.66666666666663</v>
      </c>
      <c r="AK423" s="3" t="str">
        <f t="shared" ca="1" si="162"/>
        <v>N/A</v>
      </c>
      <c r="AL423" s="6" t="str">
        <f t="shared" ca="1" si="163"/>
        <v>N/A</v>
      </c>
      <c r="AM423" s="7">
        <f t="shared" ca="1" si="177"/>
        <v>-6.8212102632969618E-13</v>
      </c>
      <c r="AN423" s="7">
        <f t="shared" ca="1" si="178"/>
        <v>22852.152913536349</v>
      </c>
      <c r="AO423" s="7">
        <f t="shared" si="179"/>
        <v>1125</v>
      </c>
    </row>
    <row r="424" spans="1:41" x14ac:dyDescent="0.2">
      <c r="A424">
        <f t="shared" si="180"/>
        <v>50</v>
      </c>
      <c r="B424" s="5">
        <f t="shared" si="181"/>
        <v>90.8</v>
      </c>
      <c r="C424" s="56">
        <f t="shared" si="182"/>
        <v>59019</v>
      </c>
      <c r="D424" s="57">
        <f ca="1">IF(AND(B423&lt;59.5,OR(B424&gt;59.5,B424=59.5)),(D423-E423+J423-K423)*(1+'Retirement Planning'!$J$23/12),(D423-E423)*(1+'Retirement Planning'!$J$23/12))</f>
        <v>1178774.926001796</v>
      </c>
      <c r="E424" s="58">
        <f t="shared" ca="1" si="171"/>
        <v>2261.6958889288289</v>
      </c>
      <c r="F424" s="57">
        <f ca="1">IF(AND(OR(B424&gt;59.5,B424=59.5),B423&lt;59.5),(F423-G423+L423-M423+N423-O423)*(1+'Retirement Planning'!$J$23/12),(F423-G423)*(1+'Retirement Planning'!$J$23/12))</f>
        <v>716139.33769700164</v>
      </c>
      <c r="G424" s="58">
        <f ca="1">IF(AND($B$10&lt;55,B424&lt;59.5),'Retirement Planning'!$J$25,IF(OR(B424&gt;59.5,B424=59.5),MAX(0,MIN(F424,IF(D424&lt;2500,((Y424+AJ424+AA424))-X424,((Y424+AJ424+AA424)*'Retirement Planning'!$J$44)-X424))),0))</f>
        <v>16641.893859964446</v>
      </c>
      <c r="H424" s="255">
        <f ca="1">IF(MONTH(C424)=1,IF(B424&gt;69.5,F424/(INDEX('Retirement Planning'!D$1:D$264,(160+INT(B424))))/12,0),IF(F424=0,0,H423))</f>
        <v>11238.41287802648</v>
      </c>
      <c r="I424" s="262">
        <f t="shared" ca="1" si="172"/>
        <v>0</v>
      </c>
      <c r="J424" s="254">
        <f ca="1">IF(AND(B423&lt;59.5,OR(B424=59.5,B424&gt;59.5)),0,(J423-K423)*(1+'Retirement Planning'!$J$23/12))</f>
        <v>0</v>
      </c>
      <c r="K424" s="58">
        <f t="shared" ca="1" si="173"/>
        <v>0</v>
      </c>
      <c r="L424" s="57">
        <f>IF(AND(OR(B424&gt;59.5,B424=59.5),B423&lt;59.5),0,(L423-M423)*(1+'Retirement Planning'!$J$23/12))</f>
        <v>0</v>
      </c>
      <c r="M424" s="59">
        <f>IF(AND($B$10&lt;55,B424&lt;59.5),0,IF(B424&lt;59.5,MAX(0,MIN((($Y424+$AJ424+AA424)*'Retirement Planning'!$J$44)-$G424-$X424,L424)),0))</f>
        <v>0</v>
      </c>
      <c r="N424" s="57">
        <f ca="1">(N423-O423)*(1+'Retirement Planning'!$J$23/12)</f>
        <v>0</v>
      </c>
      <c r="O424" s="59">
        <f ca="1">IF(B424&gt;59.5,MAX(0,MIN((AA424+$Y424+$AJ424)*(IF(D424&lt;(MIN(E412:E423)+1),1,'Retirement Planning'!$J$44))-M424-$G424-$X424-(IF(D424&lt;(MIN(E412:E423)+1),D424,0)),N424)),0)</f>
        <v>0</v>
      </c>
      <c r="P424" s="57">
        <f t="shared" si="183"/>
        <v>0</v>
      </c>
      <c r="Q424" s="58">
        <f t="shared" si="184"/>
        <v>0</v>
      </c>
      <c r="R424" s="57">
        <f ca="1">(R423-S423-T423)*(1+'Retirement Planning'!$J$23/12)</f>
        <v>1751130.1285904257</v>
      </c>
      <c r="S424" s="58">
        <f t="shared" ca="1" si="185"/>
        <v>808.33333333333337</v>
      </c>
      <c r="T424" s="273">
        <f t="shared" ca="1" si="174"/>
        <v>-2.2737367544323206E-12</v>
      </c>
      <c r="U424" s="57">
        <f ca="1">(U423-V423)*(1+'Retirement Planning'!$J$23/12)</f>
        <v>957936.99549604405</v>
      </c>
      <c r="V424" s="24">
        <f ca="1">IF(AND($B$10&lt;55,B424&lt;59.5),MIN(U424,MAX(0,(Y424+AA424+AJ424-G424)*'Retirement Planning'!$J$45)),IF(B424&lt;59.5,(MIN(U424,MAX(0,((Y424+AA424+AJ424)-G424-M424)*'Retirement Planning'!$J$45))),MIN(U424,MAX(0,(Y424+AA424+AJ424-G424-M424-K424-X424)*'Retirement Planning'!$J$45))))</f>
        <v>1926.6298313097425</v>
      </c>
      <c r="W424" s="7">
        <f t="shared" ca="1" si="175"/>
        <v>4603981.3877852671</v>
      </c>
      <c r="X424" s="7">
        <f>(IF(B424&gt;'Retirement Planning'!$J$34,IF('Retirement Planning'!$J$34=70,'Retirement Planning'!$J$37/12,IF('Retirement Planning'!$J$34=67,'Retirement Planning'!$J$36/12,'Retirement Planning'!$J$35/12)),0))*'Retirement Planning'!$J$38</f>
        <v>1213.6000000000001</v>
      </c>
      <c r="Y424" s="7">
        <f ca="1">'Retirement Planning'!$F$35*((1+'Retirement Planning'!$J$24)^(YEAR('Projected Retirement Drawdown'!C424)-YEAR(TODAY())))</f>
        <v>16721.18730807419</v>
      </c>
      <c r="Z424" s="7">
        <f ca="1">G424+M424+O424+0.85*X424+V424*'Retirement Planning'!$J$46+T424</f>
        <v>18733.100267184804</v>
      </c>
      <c r="AA424" s="7">
        <f ca="1">IF(MONTH(C424)=1,(((MIN(MAX(0,((SUM(Z412:Z423)-'Retirement Planning'!$I$53-'Retirement Planning'!$I$54)-'Retirement Planning'!$J$51)*'Retirement Planning'!$I$52))))+(MIN(MAX(0,((SUM(Z412:Z423)-'Retirement Planning'!$I$53-'Retirement Planning'!$I$54)-'Retirement Planning'!$J$50)*'Retirement Planning'!$I$51),('Retirement Planning'!$J$51-'Retirement Planning'!$J$50)*'Retirement Planning'!$I$51))+(MIN(MAX(0,((SUM(Z412:Z423)-'Retirement Planning'!$I$53-'Retirement Planning'!$I$54)-'Retirement Planning'!$J$49)*'Retirement Planning'!$I$50),('Retirement Planning'!$J$50-'Retirement Planning'!$J$49)*'Retirement Planning'!$I$50)+MIN(MAX(0,((SUM(Z412:Z423)-'Retirement Planning'!$I$53-'Retirement Planning'!$I$54)-'Retirement Planning'!$J$48)*'Retirement Planning'!$I$49),('Retirement Planning'!$J$49-'Retirement Planning'!$J$48)*'Retirement Planning'!$I$49)+MIN(((SUM(Z412:Z423)-'Retirement Planning'!$I$53-'Retirement Planning'!$I$54))*'Retirement Planning'!$I$48,('Retirement Planning'!$J$48)*'Retirement Planning'!$I$48))+(IF((SUM(Z412:Z423)-'Retirement Planning'!$I$54-'Retirement Planning'!$I$61)&gt;'Retirement Planning'!$J$59,(SUM(Z412:Z423)-'Retirement Planning'!$I$54-'Retirement Planning'!$I$61-'Retirement Planning'!$J$59)*'Retirement Planning'!$I$60+'Retirement Planning'!$K$59,IF((SUM(Z412:Z423)-'Retirement Planning'!$I$54-'Retirement Planning'!$I$61)&gt;'Retirement Planning'!$J$58,(SUM(Z412:Z423)-'Retirement Planning'!$I$54-'Retirement Planning'!$I$61-'Retirement Planning'!$J$58)*'Retirement Planning'!$I$59+'Retirement Planning'!$K$58,IF((SUM(Z412:Z423)-'Retirement Planning'!$I$54-'Retirement Planning'!$I$61)&gt;'Retirement Planning'!$J$57,(SUM(Z412:Z423)-'Retirement Planning'!$I$54-'Retirement Planning'!$I$61-'Retirement Planning'!$J$57)*'Retirement Planning'!$I$58+'Retirement Planning'!$K$57,IF((SUM(Z412:Z423)-'Retirement Planning'!$I$54-'Retirement Planning'!$I$61)&gt;'Retirement Planning'!$J$56,(SUM(Z412:Z423)-'Retirement Planning'!$I$54-'Retirement Planning'!$I$61-'Retirement Planning'!$J$56)*'Retirement Planning'!$I$57+'Retirement Planning'!$K$56,(SUM(Z412:Z423)-'Retirement Planning'!$I$54-'Retirement Planning'!$I$61)*'Retirement Planning'!$I$56))))))/12,AA423)</f>
        <v>5005.9656054621582</v>
      </c>
      <c r="AB424" s="104">
        <f t="shared" ca="1" si="164"/>
        <v>0.27761530706031751</v>
      </c>
      <c r="AC424" s="7">
        <f>IF(B424&lt;65,'Retirement Planning'!$J$28,0)</f>
        <v>0</v>
      </c>
      <c r="AD424" s="7">
        <f>IF(B424&lt;65,'Retirement Planning'!$J$29/12,0)</f>
        <v>0</v>
      </c>
      <c r="AE424" s="22">
        <f>'Retirement Planning'!$J$31/12</f>
        <v>58.333333333333336</v>
      </c>
      <c r="AF424" s="22">
        <f>'Retirement Planning'!$J$32/12</f>
        <v>66.666666666666671</v>
      </c>
      <c r="AG424" s="7">
        <f>IF($B424&gt;64.9,'Retirement Planning'!$J$39/12,0)</f>
        <v>183.33333333333334</v>
      </c>
      <c r="AH424" s="7">
        <f>IF($B424&gt;64.9,'Retirement Planning'!$J$40/12,0)</f>
        <v>258.33333333333331</v>
      </c>
      <c r="AI424" s="7">
        <f>IF($B424&gt;64.9,'Retirement Planning'!$J$41/12,0)</f>
        <v>558.33333333333337</v>
      </c>
      <c r="AJ424" s="7">
        <f t="shared" ca="1" si="176"/>
        <v>316.66666666666663</v>
      </c>
      <c r="AK424" s="3" t="str">
        <f t="shared" ca="1" si="162"/>
        <v>N/A</v>
      </c>
      <c r="AL424" s="6" t="str">
        <f t="shared" ca="1" si="163"/>
        <v>N/A</v>
      </c>
      <c r="AM424" s="7">
        <f t="shared" ca="1" si="177"/>
        <v>-6.8212102632969618E-13</v>
      </c>
      <c r="AN424" s="7">
        <f t="shared" ca="1" si="178"/>
        <v>22852.152913536349</v>
      </c>
      <c r="AO424" s="7">
        <f t="shared" si="179"/>
        <v>1125</v>
      </c>
    </row>
    <row r="425" spans="1:41" x14ac:dyDescent="0.2">
      <c r="A425">
        <f t="shared" si="180"/>
        <v>50</v>
      </c>
      <c r="B425" s="5">
        <f t="shared" si="181"/>
        <v>90.9</v>
      </c>
      <c r="C425" s="56">
        <f t="shared" si="182"/>
        <v>59050</v>
      </c>
      <c r="D425" s="57">
        <f ca="1">IF(AND(B424&lt;59.5,OR(B425&gt;59.5,B425=59.5)),(D424-E424+J424-K424)*(1+'Retirement Planning'!$J$23/12),(D424-E424)*(1+'Retirement Planning'!$J$23/12))</f>
        <v>1184846.8654928333</v>
      </c>
      <c r="E425" s="58">
        <f t="shared" ca="1" si="171"/>
        <v>2261.6958889288289</v>
      </c>
      <c r="F425" s="57">
        <f ca="1">IF(AND(OR(B425&gt;59.5,B425=59.5),B424&lt;59.5),(F424-G424+L424-M424+N424-O424)*(1+'Retirement Planning'!$J$23/12),(F424-G424)*(1+'Retirement Planning'!$J$23/12))</f>
        <v>704452.21739754954</v>
      </c>
      <c r="G425" s="58">
        <f ca="1">IF(AND($B$10&lt;55,B425&lt;59.5),'Retirement Planning'!$J$25,IF(OR(B425&gt;59.5,B425=59.5),MAX(0,MIN(F425,IF(D425&lt;2500,((Y425+AJ425+AA425))-X425,((Y425+AJ425+AA425)*'Retirement Planning'!$J$44)-X425))),0))</f>
        <v>16641.893859964446</v>
      </c>
      <c r="H425" s="255">
        <f ca="1">IF(MONTH(C425)=1,IF(B425&gt;69.5,F425/(INDEX('Retirement Planning'!D$1:D$264,(160+INT(B425))))/12,0),IF(F425=0,0,H424))</f>
        <v>11238.41287802648</v>
      </c>
      <c r="I425" s="262">
        <f t="shared" ca="1" si="172"/>
        <v>0</v>
      </c>
      <c r="J425" s="254">
        <f ca="1">IF(AND(B424&lt;59.5,OR(B425=59.5,B425&gt;59.5)),0,(J424-K424)*(1+'Retirement Planning'!$J$23/12))</f>
        <v>0</v>
      </c>
      <c r="K425" s="58">
        <f t="shared" ca="1" si="173"/>
        <v>0</v>
      </c>
      <c r="L425" s="57">
        <f>IF(AND(OR(B425&gt;59.5,B425=59.5),B424&lt;59.5),0,(L424-M424)*(1+'Retirement Planning'!$J$23/12))</f>
        <v>0</v>
      </c>
      <c r="M425" s="59">
        <f>IF(AND($B$10&lt;55,B425&lt;59.5),0,IF(B425&lt;59.5,MAX(0,MIN((($Y425+$AJ425+AA425)*'Retirement Planning'!$J$44)-$G425-$X425,L425)),0))</f>
        <v>0</v>
      </c>
      <c r="N425" s="57">
        <f ca="1">(N424-O424)*(1+'Retirement Planning'!$J$23/12)</f>
        <v>0</v>
      </c>
      <c r="O425" s="59">
        <f ca="1">IF(B425&gt;59.5,MAX(0,MIN((AA425+$Y425+$AJ425)*(IF(D425&lt;(MIN(E413:E424)+1),1,'Retirement Planning'!$J$44))-M425-$G425-$X425-(IF(D425&lt;(MIN(E413:E424)+1),D425,0)),N425)),0)</f>
        <v>0</v>
      </c>
      <c r="P425" s="57">
        <f t="shared" si="183"/>
        <v>0</v>
      </c>
      <c r="Q425" s="58">
        <f t="shared" si="184"/>
        <v>0</v>
      </c>
      <c r="R425" s="57">
        <f ca="1">(R424-S424-T424)*(1+'Retirement Planning'!$J$23/12)</f>
        <v>1762719.9079734969</v>
      </c>
      <c r="S425" s="58">
        <f t="shared" ca="1" si="185"/>
        <v>808.33333333333337</v>
      </c>
      <c r="T425" s="273">
        <f t="shared" ca="1" si="174"/>
        <v>-2.2737367544323206E-12</v>
      </c>
      <c r="U425" s="57">
        <f ca="1">(U424-V424)*(1+'Retirement Planning'!$J$23/12)</f>
        <v>962782.10575485951</v>
      </c>
      <c r="V425" s="24">
        <f ca="1">IF(AND($B$10&lt;55,B425&lt;59.5),MIN(U425,MAX(0,(Y425+AA425+AJ425-G425)*'Retirement Planning'!$J$45)),IF(B425&lt;59.5,(MIN(U425,MAX(0,((Y425+AA425+AJ425)-G425-M425)*'Retirement Planning'!$J$45))),MIN(U425,MAX(0,(Y425+AA425+AJ425-G425-M425-K425-X425)*'Retirement Planning'!$J$45))))</f>
        <v>1926.6298313097425</v>
      </c>
      <c r="W425" s="7">
        <f t="shared" ca="1" si="175"/>
        <v>4614801.0966187399</v>
      </c>
      <c r="X425" s="7">
        <f>(IF(B425&gt;'Retirement Planning'!$J$34,IF('Retirement Planning'!$J$34=70,'Retirement Planning'!$J$37/12,IF('Retirement Planning'!$J$34=67,'Retirement Planning'!$J$36/12,'Retirement Planning'!$J$35/12)),0))*'Retirement Planning'!$J$38</f>
        <v>1213.6000000000001</v>
      </c>
      <c r="Y425" s="7">
        <f ca="1">'Retirement Planning'!$F$35*((1+'Retirement Planning'!$J$24)^(YEAR('Projected Retirement Drawdown'!C425)-YEAR(TODAY())))</f>
        <v>16721.18730807419</v>
      </c>
      <c r="Z425" s="7">
        <f ca="1">G425+M425+O425+0.85*X425+V425*'Retirement Planning'!$J$46+T425</f>
        <v>18733.100267184804</v>
      </c>
      <c r="AA425" s="7">
        <f ca="1">IF(MONTH(C425)=1,(((MIN(MAX(0,((SUM(Z413:Z424)-'Retirement Planning'!$I$53-'Retirement Planning'!$I$54)-'Retirement Planning'!$J$51)*'Retirement Planning'!$I$52))))+(MIN(MAX(0,((SUM(Z413:Z424)-'Retirement Planning'!$I$53-'Retirement Planning'!$I$54)-'Retirement Planning'!$J$50)*'Retirement Planning'!$I$51),('Retirement Planning'!$J$51-'Retirement Planning'!$J$50)*'Retirement Planning'!$I$51))+(MIN(MAX(0,((SUM(Z413:Z424)-'Retirement Planning'!$I$53-'Retirement Planning'!$I$54)-'Retirement Planning'!$J$49)*'Retirement Planning'!$I$50),('Retirement Planning'!$J$50-'Retirement Planning'!$J$49)*'Retirement Planning'!$I$50)+MIN(MAX(0,((SUM(Z413:Z424)-'Retirement Planning'!$I$53-'Retirement Planning'!$I$54)-'Retirement Planning'!$J$48)*'Retirement Planning'!$I$49),('Retirement Planning'!$J$49-'Retirement Planning'!$J$48)*'Retirement Planning'!$I$49)+MIN(((SUM(Z413:Z424)-'Retirement Planning'!$I$53-'Retirement Planning'!$I$54))*'Retirement Planning'!$I$48,('Retirement Planning'!$J$48)*'Retirement Planning'!$I$48))+(IF((SUM(Z413:Z424)-'Retirement Planning'!$I$54-'Retirement Planning'!$I$61)&gt;'Retirement Planning'!$J$59,(SUM(Z413:Z424)-'Retirement Planning'!$I$54-'Retirement Planning'!$I$61-'Retirement Planning'!$J$59)*'Retirement Planning'!$I$60+'Retirement Planning'!$K$59,IF((SUM(Z413:Z424)-'Retirement Planning'!$I$54-'Retirement Planning'!$I$61)&gt;'Retirement Planning'!$J$58,(SUM(Z413:Z424)-'Retirement Planning'!$I$54-'Retirement Planning'!$I$61-'Retirement Planning'!$J$58)*'Retirement Planning'!$I$59+'Retirement Planning'!$K$58,IF((SUM(Z413:Z424)-'Retirement Planning'!$I$54-'Retirement Planning'!$I$61)&gt;'Retirement Planning'!$J$57,(SUM(Z413:Z424)-'Retirement Planning'!$I$54-'Retirement Planning'!$I$61-'Retirement Planning'!$J$57)*'Retirement Planning'!$I$58+'Retirement Planning'!$K$57,IF((SUM(Z413:Z424)-'Retirement Planning'!$I$54-'Retirement Planning'!$I$61)&gt;'Retirement Planning'!$J$56,(SUM(Z413:Z424)-'Retirement Planning'!$I$54-'Retirement Planning'!$I$61-'Retirement Planning'!$J$56)*'Retirement Planning'!$I$57+'Retirement Planning'!$K$56,(SUM(Z413:Z424)-'Retirement Planning'!$I$54-'Retirement Planning'!$I$61)*'Retirement Planning'!$I$56))))))/12,AA424)</f>
        <v>5005.9656054621582</v>
      </c>
      <c r="AB425" s="104">
        <f t="shared" ca="1" si="164"/>
        <v>0.27761530706031751</v>
      </c>
      <c r="AC425" s="7">
        <f>IF(B425&lt;65,'Retirement Planning'!$J$28,0)</f>
        <v>0</v>
      </c>
      <c r="AD425" s="7">
        <f>IF(B425&lt;65,'Retirement Planning'!$J$29/12,0)</f>
        <v>0</v>
      </c>
      <c r="AE425" s="22">
        <f>'Retirement Planning'!$J$31/12</f>
        <v>58.333333333333336</v>
      </c>
      <c r="AF425" s="22">
        <f>'Retirement Planning'!$J$32/12</f>
        <v>66.666666666666671</v>
      </c>
      <c r="AG425" s="7">
        <f>IF($B425&gt;64.9,'Retirement Planning'!$J$39/12,0)</f>
        <v>183.33333333333334</v>
      </c>
      <c r="AH425" s="7">
        <f>IF($B425&gt;64.9,'Retirement Planning'!$J$40/12,0)</f>
        <v>258.33333333333331</v>
      </c>
      <c r="AI425" s="7">
        <f>IF($B425&gt;64.9,'Retirement Planning'!$J$41/12,0)</f>
        <v>558.33333333333337</v>
      </c>
      <c r="AJ425" s="7">
        <f t="shared" ca="1" si="176"/>
        <v>316.66666666666663</v>
      </c>
      <c r="AK425" s="3" t="str">
        <f t="shared" ca="1" si="162"/>
        <v>N/A</v>
      </c>
      <c r="AL425" s="6" t="str">
        <f t="shared" ca="1" si="163"/>
        <v>N/A</v>
      </c>
      <c r="AM425" s="7">
        <f t="shared" ca="1" si="177"/>
        <v>-6.8212102632969618E-13</v>
      </c>
      <c r="AN425" s="7">
        <f t="shared" ca="1" si="178"/>
        <v>22852.152913536349</v>
      </c>
      <c r="AO425" s="7">
        <f t="shared" si="179"/>
        <v>1125</v>
      </c>
    </row>
    <row r="426" spans="1:41" x14ac:dyDescent="0.2">
      <c r="A426">
        <f t="shared" si="180"/>
        <v>50</v>
      </c>
      <c r="B426" s="5">
        <f t="shared" si="181"/>
        <v>91</v>
      </c>
      <c r="C426" s="56">
        <f t="shared" si="182"/>
        <v>59080</v>
      </c>
      <c r="D426" s="57">
        <f ca="1">IF(AND(B425&lt;59.5,OR(B426&gt;59.5,B426=59.5)),(D425-E425+J425-K425)*(1+'Retirement Planning'!$J$23/12),(D425-E425)*(1+'Retirement Planning'!$J$23/12))</f>
        <v>1190961.8145552655</v>
      </c>
      <c r="E426" s="58">
        <f t="shared" ca="1" si="171"/>
        <v>2261.6958889288289</v>
      </c>
      <c r="F426" s="57">
        <f ca="1">IF(AND(OR(B426&gt;59.5,B426=59.5),B425&lt;59.5),(F425-G425+L425-M425+N425-O425)*(1+'Retirement Planning'!$J$23/12),(F425-G425)*(1+'Retirement Planning'!$J$23/12))</f>
        <v>692682.31332930969</v>
      </c>
      <c r="G426" s="58">
        <f ca="1">IF(AND($B$10&lt;55,B426&lt;59.5),'Retirement Planning'!$J$25,IF(OR(B426&gt;59.5,B426=59.5),MAX(0,MIN(F426,IF(D426&lt;2500,((Y426+AJ426+AA426))-X426,((Y426+AJ426+AA426)*'Retirement Planning'!$J$44)-X426))),0))</f>
        <v>16641.893859964446</v>
      </c>
      <c r="H426" s="255">
        <f ca="1">IF(MONTH(C426)=1,IF(B426&gt;69.5,F426/(INDEX('Retirement Planning'!D$1:D$264,(160+INT(B426))))/12,0),IF(F426=0,0,H425))</f>
        <v>11238.41287802648</v>
      </c>
      <c r="I426" s="262">
        <f t="shared" ca="1" si="172"/>
        <v>0</v>
      </c>
      <c r="J426" s="254">
        <f ca="1">IF(AND(B425&lt;59.5,OR(B426=59.5,B426&gt;59.5)),0,(J425-K425)*(1+'Retirement Planning'!$J$23/12))</f>
        <v>0</v>
      </c>
      <c r="K426" s="58">
        <f t="shared" ca="1" si="173"/>
        <v>0</v>
      </c>
      <c r="L426" s="57">
        <f>IF(AND(OR(B426&gt;59.5,B426=59.5),B425&lt;59.5),0,(L425-M425)*(1+'Retirement Planning'!$J$23/12))</f>
        <v>0</v>
      </c>
      <c r="M426" s="59">
        <f>IF(AND($B$10&lt;55,B426&lt;59.5),0,IF(B426&lt;59.5,MAX(0,MIN((($Y426+$AJ426+AA426)*'Retirement Planning'!$J$44)-$G426-$X426,L426)),0))</f>
        <v>0</v>
      </c>
      <c r="N426" s="57">
        <f ca="1">(N425-O425)*(1+'Retirement Planning'!$J$23/12)</f>
        <v>0</v>
      </c>
      <c r="O426" s="59">
        <f ca="1">IF(B426&gt;59.5,MAX(0,MIN((AA426+$Y426+$AJ426)*(IF(D426&lt;(MIN(E414:E425)+1),1,'Retirement Planning'!$J$44))-M426-$G426-$X426-(IF(D426&lt;(MIN(E414:E425)+1),D426,0)),N426)),0)</f>
        <v>0</v>
      </c>
      <c r="P426" s="57">
        <f t="shared" si="183"/>
        <v>0</v>
      </c>
      <c r="Q426" s="58">
        <f t="shared" si="184"/>
        <v>0</v>
      </c>
      <c r="R426" s="57">
        <f ca="1">(R425-S425-T425)*(1+'Retirement Planning'!$J$23/12)</f>
        <v>1774391.7816271982</v>
      </c>
      <c r="S426" s="58">
        <f t="shared" ca="1" si="185"/>
        <v>808.33333333333337</v>
      </c>
      <c r="T426" s="273">
        <f t="shared" ca="1" si="174"/>
        <v>-2.2737367544323206E-12</v>
      </c>
      <c r="U426" s="57">
        <f ca="1">(U425-V425)*(1+'Retirement Planning'!$J$23/12)</f>
        <v>967661.53554467484</v>
      </c>
      <c r="V426" s="24">
        <f ca="1">IF(AND($B$10&lt;55,B426&lt;59.5),MIN(U426,MAX(0,(Y426+AA426+AJ426-G426)*'Retirement Planning'!$J$45)),IF(B426&lt;59.5,(MIN(U426,MAX(0,((Y426+AA426+AJ426)-G426-M426)*'Retirement Planning'!$J$45))),MIN(U426,MAX(0,(Y426+AA426+AJ426-G426-M426-K426-X426)*'Retirement Planning'!$J$45))))</f>
        <v>1926.6298313097425</v>
      </c>
      <c r="W426" s="7">
        <f t="shared" ca="1" si="175"/>
        <v>4625697.4450564478</v>
      </c>
      <c r="X426" s="7">
        <f>(IF(B426&gt;'Retirement Planning'!$J$34,IF('Retirement Planning'!$J$34=70,'Retirement Planning'!$J$37/12,IF('Retirement Planning'!$J$34=67,'Retirement Planning'!$J$36/12,'Retirement Planning'!$J$35/12)),0))*'Retirement Planning'!$J$38</f>
        <v>1213.6000000000001</v>
      </c>
      <c r="Y426" s="7">
        <f ca="1">'Retirement Planning'!$F$35*((1+'Retirement Planning'!$J$24)^(YEAR('Projected Retirement Drawdown'!C426)-YEAR(TODAY())))</f>
        <v>16721.18730807419</v>
      </c>
      <c r="Z426" s="7">
        <f ca="1">G426+M426+O426+0.85*X426+V426*'Retirement Planning'!$J$46+T426</f>
        <v>18733.100267184804</v>
      </c>
      <c r="AA426" s="7">
        <f ca="1">IF(MONTH(C426)=1,(((MIN(MAX(0,((SUM(Z414:Z425)-'Retirement Planning'!$I$53-'Retirement Planning'!$I$54)-'Retirement Planning'!$J$51)*'Retirement Planning'!$I$52))))+(MIN(MAX(0,((SUM(Z414:Z425)-'Retirement Planning'!$I$53-'Retirement Planning'!$I$54)-'Retirement Planning'!$J$50)*'Retirement Planning'!$I$51),('Retirement Planning'!$J$51-'Retirement Planning'!$J$50)*'Retirement Planning'!$I$51))+(MIN(MAX(0,((SUM(Z414:Z425)-'Retirement Planning'!$I$53-'Retirement Planning'!$I$54)-'Retirement Planning'!$J$49)*'Retirement Planning'!$I$50),('Retirement Planning'!$J$50-'Retirement Planning'!$J$49)*'Retirement Planning'!$I$50)+MIN(MAX(0,((SUM(Z414:Z425)-'Retirement Planning'!$I$53-'Retirement Planning'!$I$54)-'Retirement Planning'!$J$48)*'Retirement Planning'!$I$49),('Retirement Planning'!$J$49-'Retirement Planning'!$J$48)*'Retirement Planning'!$I$49)+MIN(((SUM(Z414:Z425)-'Retirement Planning'!$I$53-'Retirement Planning'!$I$54))*'Retirement Planning'!$I$48,('Retirement Planning'!$J$48)*'Retirement Planning'!$I$48))+(IF((SUM(Z414:Z425)-'Retirement Planning'!$I$54-'Retirement Planning'!$I$61)&gt;'Retirement Planning'!$J$59,(SUM(Z414:Z425)-'Retirement Planning'!$I$54-'Retirement Planning'!$I$61-'Retirement Planning'!$J$59)*'Retirement Planning'!$I$60+'Retirement Planning'!$K$59,IF((SUM(Z414:Z425)-'Retirement Planning'!$I$54-'Retirement Planning'!$I$61)&gt;'Retirement Planning'!$J$58,(SUM(Z414:Z425)-'Retirement Planning'!$I$54-'Retirement Planning'!$I$61-'Retirement Planning'!$J$58)*'Retirement Planning'!$I$59+'Retirement Planning'!$K$58,IF((SUM(Z414:Z425)-'Retirement Planning'!$I$54-'Retirement Planning'!$I$61)&gt;'Retirement Planning'!$J$57,(SUM(Z414:Z425)-'Retirement Planning'!$I$54-'Retirement Planning'!$I$61-'Retirement Planning'!$J$57)*'Retirement Planning'!$I$58+'Retirement Planning'!$K$57,IF((SUM(Z414:Z425)-'Retirement Planning'!$I$54-'Retirement Planning'!$I$61)&gt;'Retirement Planning'!$J$56,(SUM(Z414:Z425)-'Retirement Planning'!$I$54-'Retirement Planning'!$I$61-'Retirement Planning'!$J$56)*'Retirement Planning'!$I$57+'Retirement Planning'!$K$56,(SUM(Z414:Z425)-'Retirement Planning'!$I$54-'Retirement Planning'!$I$61)*'Retirement Planning'!$I$56))))))/12,AA425)</f>
        <v>5005.9656054621582</v>
      </c>
      <c r="AB426" s="104">
        <f t="shared" ca="1" si="164"/>
        <v>0.27761530706031751</v>
      </c>
      <c r="AC426" s="7">
        <f>IF(B426&lt;65,'Retirement Planning'!$J$28,0)</f>
        <v>0</v>
      </c>
      <c r="AD426" s="7">
        <f>IF(B426&lt;65,'Retirement Planning'!$J$29/12,0)</f>
        <v>0</v>
      </c>
      <c r="AE426" s="22">
        <f>'Retirement Planning'!$J$31/12</f>
        <v>58.333333333333336</v>
      </c>
      <c r="AF426" s="22">
        <f>'Retirement Planning'!$J$32/12</f>
        <v>66.666666666666671</v>
      </c>
      <c r="AG426" s="7">
        <f>IF($B426&gt;64.9,'Retirement Planning'!$J$39/12,0)</f>
        <v>183.33333333333334</v>
      </c>
      <c r="AH426" s="7">
        <f>IF($B426&gt;64.9,'Retirement Planning'!$J$40/12,0)</f>
        <v>258.33333333333331</v>
      </c>
      <c r="AI426" s="7">
        <f>IF($B426&gt;64.9,'Retirement Planning'!$J$41/12,0)</f>
        <v>558.33333333333337</v>
      </c>
      <c r="AJ426" s="7">
        <f t="shared" ca="1" si="176"/>
        <v>316.66666666666663</v>
      </c>
      <c r="AK426" s="3" t="str">
        <f t="shared" ca="1" si="162"/>
        <v>N/A</v>
      </c>
      <c r="AL426" s="6" t="str">
        <f t="shared" ca="1" si="163"/>
        <v>N/A</v>
      </c>
      <c r="AM426" s="7">
        <f t="shared" ca="1" si="177"/>
        <v>-6.8212102632969618E-13</v>
      </c>
      <c r="AN426" s="7">
        <f t="shared" ca="1" si="178"/>
        <v>22852.152913536349</v>
      </c>
      <c r="AO426" s="7">
        <f t="shared" si="179"/>
        <v>1125</v>
      </c>
    </row>
    <row r="427" spans="1:41" x14ac:dyDescent="0.2">
      <c r="A427">
        <f t="shared" si="180"/>
        <v>50</v>
      </c>
      <c r="B427" s="5">
        <f t="shared" si="181"/>
        <v>91</v>
      </c>
      <c r="C427" s="56">
        <f t="shared" si="182"/>
        <v>59111</v>
      </c>
      <c r="D427" s="57">
        <f ca="1">IF(AND(B426&lt;59.5,OR(B427&gt;59.5,B427=59.5)),(D426-E426+J426-K426)*(1+'Retirement Planning'!$J$23/12),(D426-E426)*(1+'Retirement Planning'!$J$23/12))</f>
        <v>1197120.0778402232</v>
      </c>
      <c r="E427" s="58">
        <f t="shared" ca="1" si="171"/>
        <v>2261.6958889288289</v>
      </c>
      <c r="F427" s="57">
        <f ca="1">IF(AND(OR(B427&gt;59.5,B427=59.5),B426&lt;59.5),(F426-G426+L426-M426+N426-O426)*(1+'Retirement Planning'!$J$23/12),(F426-G426)*(1+'Retirement Planning'!$J$23/12))</f>
        <v>680829.03910725308</v>
      </c>
      <c r="G427" s="58">
        <f ca="1">IF(AND($B$10&lt;55,B427&lt;59.5),'Retirement Planning'!$J$25,IF(OR(B427&gt;59.5,B427=59.5),MAX(0,MIN(F427,IF(D427&lt;2500,((Y427+AJ427+AA427))-X427,((Y427+AJ427+AA427)*'Retirement Planning'!$J$44)-X427))),0))</f>
        <v>16641.893859964446</v>
      </c>
      <c r="H427" s="255">
        <f ca="1">IF(MONTH(C427)=1,IF(B427&gt;69.5,F427/(INDEX('Retirement Planning'!D$1:D$264,(160+INT(B427))))/12,0),IF(F427=0,0,H426))</f>
        <v>11238.41287802648</v>
      </c>
      <c r="I427" s="262">
        <f t="shared" ca="1" si="172"/>
        <v>0</v>
      </c>
      <c r="J427" s="254">
        <f ca="1">IF(AND(B426&lt;59.5,OR(B427=59.5,B427&gt;59.5)),0,(J426-K426)*(1+'Retirement Planning'!$J$23/12))</f>
        <v>0</v>
      </c>
      <c r="K427" s="58">
        <f t="shared" ca="1" si="173"/>
        <v>0</v>
      </c>
      <c r="L427" s="57">
        <f>IF(AND(OR(B427&gt;59.5,B427=59.5),B426&lt;59.5),0,(L426-M426)*(1+'Retirement Planning'!$J$23/12))</f>
        <v>0</v>
      </c>
      <c r="M427" s="59">
        <f>IF(AND($B$10&lt;55,B427&lt;59.5),0,IF(B427&lt;59.5,MAX(0,MIN((($Y427+$AJ427+AA427)*'Retirement Planning'!$J$44)-$G427-$X427,L427)),0))</f>
        <v>0</v>
      </c>
      <c r="N427" s="57">
        <f ca="1">(N426-O426)*(1+'Retirement Planning'!$J$23/12)</f>
        <v>0</v>
      </c>
      <c r="O427" s="59">
        <f ca="1">IF(B427&gt;59.5,MAX(0,MIN((AA427+$Y427+$AJ427)*(IF(D427&lt;(MIN(E415:E426)+1),1,'Retirement Planning'!$J$44))-M427-$G427-$X427-(IF(D427&lt;(MIN(E415:E426)+1),D427,0)),N427)),0)</f>
        <v>0</v>
      </c>
      <c r="P427" s="57">
        <f t="shared" si="183"/>
        <v>0</v>
      </c>
      <c r="Q427" s="58">
        <f t="shared" si="184"/>
        <v>0</v>
      </c>
      <c r="R427" s="57">
        <f ca="1">(R426-S426-T426)*(1+'Retirement Planning'!$J$23/12)</f>
        <v>1786146.3310526132</v>
      </c>
      <c r="S427" s="58">
        <f t="shared" ca="1" si="185"/>
        <v>808.33333333333337</v>
      </c>
      <c r="T427" s="273">
        <f t="shared" ca="1" si="174"/>
        <v>-2.2737367544323206E-12</v>
      </c>
      <c r="U427" s="57">
        <f ca="1">(U426-V426)*(1+'Retirement Planning'!$J$23/12)</f>
        <v>972575.5279621681</v>
      </c>
      <c r="V427" s="24">
        <f ca="1">IF(AND($B$10&lt;55,B427&lt;59.5),MIN(U427,MAX(0,(Y427+AA427+AJ427-G427)*'Retirement Planning'!$J$45)),IF(B427&lt;59.5,(MIN(U427,MAX(0,((Y427+AA427+AJ427)-G427-M427)*'Retirement Planning'!$J$45))),MIN(U427,MAX(0,(Y427+AA427+AJ427-G427-M427-K427-X427)*'Retirement Planning'!$J$45))))</f>
        <v>1926.6298313097425</v>
      </c>
      <c r="W427" s="7">
        <f t="shared" ca="1" si="175"/>
        <v>4636670.975962257</v>
      </c>
      <c r="X427" s="7">
        <f>(IF(B427&gt;'Retirement Planning'!$J$34,IF('Retirement Planning'!$J$34=70,'Retirement Planning'!$J$37/12,IF('Retirement Planning'!$J$34=67,'Retirement Planning'!$J$36/12,'Retirement Planning'!$J$35/12)),0))*'Retirement Planning'!$J$38</f>
        <v>1213.6000000000001</v>
      </c>
      <c r="Y427" s="7">
        <f ca="1">'Retirement Planning'!$F$35*((1+'Retirement Planning'!$J$24)^(YEAR('Projected Retirement Drawdown'!C427)-YEAR(TODAY())))</f>
        <v>16721.18730807419</v>
      </c>
      <c r="Z427" s="7">
        <f ca="1">G427+M427+O427+0.85*X427+V427*'Retirement Planning'!$J$46+T427</f>
        <v>18733.100267184804</v>
      </c>
      <c r="AA427" s="7">
        <f ca="1">IF(MONTH(C427)=1,(((MIN(MAX(0,((SUM(Z415:Z426)-'Retirement Planning'!$I$53-'Retirement Planning'!$I$54)-'Retirement Planning'!$J$51)*'Retirement Planning'!$I$52))))+(MIN(MAX(0,((SUM(Z415:Z426)-'Retirement Planning'!$I$53-'Retirement Planning'!$I$54)-'Retirement Planning'!$J$50)*'Retirement Planning'!$I$51),('Retirement Planning'!$J$51-'Retirement Planning'!$J$50)*'Retirement Planning'!$I$51))+(MIN(MAX(0,((SUM(Z415:Z426)-'Retirement Planning'!$I$53-'Retirement Planning'!$I$54)-'Retirement Planning'!$J$49)*'Retirement Planning'!$I$50),('Retirement Planning'!$J$50-'Retirement Planning'!$J$49)*'Retirement Planning'!$I$50)+MIN(MAX(0,((SUM(Z415:Z426)-'Retirement Planning'!$I$53-'Retirement Planning'!$I$54)-'Retirement Planning'!$J$48)*'Retirement Planning'!$I$49),('Retirement Planning'!$J$49-'Retirement Planning'!$J$48)*'Retirement Planning'!$I$49)+MIN(((SUM(Z415:Z426)-'Retirement Planning'!$I$53-'Retirement Planning'!$I$54))*'Retirement Planning'!$I$48,('Retirement Planning'!$J$48)*'Retirement Planning'!$I$48))+(IF((SUM(Z415:Z426)-'Retirement Planning'!$I$54-'Retirement Planning'!$I$61)&gt;'Retirement Planning'!$J$59,(SUM(Z415:Z426)-'Retirement Planning'!$I$54-'Retirement Planning'!$I$61-'Retirement Planning'!$J$59)*'Retirement Planning'!$I$60+'Retirement Planning'!$K$59,IF((SUM(Z415:Z426)-'Retirement Planning'!$I$54-'Retirement Planning'!$I$61)&gt;'Retirement Planning'!$J$58,(SUM(Z415:Z426)-'Retirement Planning'!$I$54-'Retirement Planning'!$I$61-'Retirement Planning'!$J$58)*'Retirement Planning'!$I$59+'Retirement Planning'!$K$58,IF((SUM(Z415:Z426)-'Retirement Planning'!$I$54-'Retirement Planning'!$I$61)&gt;'Retirement Planning'!$J$57,(SUM(Z415:Z426)-'Retirement Planning'!$I$54-'Retirement Planning'!$I$61-'Retirement Planning'!$J$57)*'Retirement Planning'!$I$58+'Retirement Planning'!$K$57,IF((SUM(Z415:Z426)-'Retirement Planning'!$I$54-'Retirement Planning'!$I$61)&gt;'Retirement Planning'!$J$56,(SUM(Z415:Z426)-'Retirement Planning'!$I$54-'Retirement Planning'!$I$61-'Retirement Planning'!$J$56)*'Retirement Planning'!$I$57+'Retirement Planning'!$K$56,(SUM(Z415:Z426)-'Retirement Planning'!$I$54-'Retirement Planning'!$I$61)*'Retirement Planning'!$I$56))))))/12,AA426)</f>
        <v>5005.9656054621582</v>
      </c>
      <c r="AB427" s="104">
        <f t="shared" ca="1" si="164"/>
        <v>0.27761530706031751</v>
      </c>
      <c r="AC427" s="7">
        <f>IF(B427&lt;65,'Retirement Planning'!$J$28,0)</f>
        <v>0</v>
      </c>
      <c r="AD427" s="7">
        <f>IF(B427&lt;65,'Retirement Planning'!$J$29/12,0)</f>
        <v>0</v>
      </c>
      <c r="AE427" s="22">
        <f>'Retirement Planning'!$J$31/12</f>
        <v>58.333333333333336</v>
      </c>
      <c r="AF427" s="22">
        <f>'Retirement Planning'!$J$32/12</f>
        <v>66.666666666666671</v>
      </c>
      <c r="AG427" s="7">
        <f>IF($B427&gt;64.9,'Retirement Planning'!$J$39/12,0)</f>
        <v>183.33333333333334</v>
      </c>
      <c r="AH427" s="7">
        <f>IF($B427&gt;64.9,'Retirement Planning'!$J$40/12,0)</f>
        <v>258.33333333333331</v>
      </c>
      <c r="AI427" s="7">
        <f>IF($B427&gt;64.9,'Retirement Planning'!$J$41/12,0)</f>
        <v>558.33333333333337</v>
      </c>
      <c r="AJ427" s="7">
        <f t="shared" ca="1" si="176"/>
        <v>316.66666666666663</v>
      </c>
      <c r="AK427" s="3" t="str">
        <f t="shared" ref="AK427:AK490" ca="1" si="190">IF(AND(R427&lt;AN427,R426&gt;AN426),C427,AK426)</f>
        <v>N/A</v>
      </c>
      <c r="AL427" s="6" t="str">
        <f t="shared" ref="AL427:AL490" ca="1" si="191">IF(AND(R427&lt;AN427,R426&gt;AN426),B427,AL426)</f>
        <v>N/A</v>
      </c>
      <c r="AM427" s="7">
        <f t="shared" ca="1" si="177"/>
        <v>-6.8212102632969618E-13</v>
      </c>
      <c r="AN427" s="7">
        <f t="shared" ca="1" si="178"/>
        <v>22852.152913536349</v>
      </c>
      <c r="AO427" s="7">
        <f t="shared" si="179"/>
        <v>1125</v>
      </c>
    </row>
    <row r="428" spans="1:41" x14ac:dyDescent="0.2">
      <c r="A428">
        <f t="shared" si="180"/>
        <v>50</v>
      </c>
      <c r="B428" s="5">
        <f t="shared" si="181"/>
        <v>91.1</v>
      </c>
      <c r="C428" s="56">
        <f t="shared" si="182"/>
        <v>59141</v>
      </c>
      <c r="D428" s="57">
        <f ca="1">IF(AND(B427&lt;59.5,OR(B428&gt;59.5,B428=59.5)),(D427-E427+J427-K427)*(1+'Retirement Planning'!$J$23/12),(D427-E427)*(1+'Retirement Planning'!$J$23/12))</f>
        <v>1203321.9621567826</v>
      </c>
      <c r="E428" s="58">
        <f t="shared" ca="1" si="171"/>
        <v>2261.6958889288289</v>
      </c>
      <c r="F428" s="57">
        <f ca="1">IF(AND(OR(B428&gt;59.5,B428=59.5),B427&lt;59.5),(F427-G427+L427-M427+N427-O427)*(1+'Retirement Planning'!$J$23/12),(F427-G427)*(1+'Retirement Planning'!$J$23/12))</f>
        <v>668891.8041927903</v>
      </c>
      <c r="G428" s="58">
        <f ca="1">IF(AND($B$10&lt;55,B428&lt;59.5),'Retirement Planning'!$J$25,IF(OR(B428&gt;59.5,B428=59.5),MAX(0,MIN(F428,IF(D428&lt;2500,((Y428+AJ428+AA428))-X428,((Y428+AJ428+AA428)*'Retirement Planning'!$J$44)-X428))),0))</f>
        <v>16641.893859964446</v>
      </c>
      <c r="H428" s="255">
        <f ca="1">IF(MONTH(C428)=1,IF(B428&gt;69.5,F428/(INDEX('Retirement Planning'!D$1:D$264,(160+INT(B428))))/12,0),IF(F428=0,0,H427))</f>
        <v>11238.41287802648</v>
      </c>
      <c r="I428" s="262">
        <f t="shared" ca="1" si="172"/>
        <v>0</v>
      </c>
      <c r="J428" s="254">
        <f ca="1">IF(AND(B427&lt;59.5,OR(B428=59.5,B428&gt;59.5)),0,(J427-K427)*(1+'Retirement Planning'!$J$23/12))</f>
        <v>0</v>
      </c>
      <c r="K428" s="58">
        <f t="shared" ca="1" si="173"/>
        <v>0</v>
      </c>
      <c r="L428" s="57">
        <f>IF(AND(OR(B428&gt;59.5,B428=59.5),B427&lt;59.5),0,(L427-M427)*(1+'Retirement Planning'!$J$23/12))</f>
        <v>0</v>
      </c>
      <c r="M428" s="59">
        <f>IF(AND($B$10&lt;55,B428&lt;59.5),0,IF(B428&lt;59.5,MAX(0,MIN((($Y428+$AJ428+AA428)*'Retirement Planning'!$J$44)-$G428-$X428,L428)),0))</f>
        <v>0</v>
      </c>
      <c r="N428" s="57">
        <f ca="1">(N427-O427)*(1+'Retirement Planning'!$J$23/12)</f>
        <v>0</v>
      </c>
      <c r="O428" s="59">
        <f ca="1">IF(B428&gt;59.5,MAX(0,MIN((AA428+$Y428+$AJ428)*(IF(D428&lt;(MIN(E416:E427)+1),1,'Retirement Planning'!$J$44))-M428-$G428-$X428-(IF(D428&lt;(MIN(E416:E427)+1),D428,0)),N428)),0)</f>
        <v>0</v>
      </c>
      <c r="P428" s="57">
        <f t="shared" si="183"/>
        <v>0</v>
      </c>
      <c r="Q428" s="58">
        <f t="shared" si="184"/>
        <v>0</v>
      </c>
      <c r="R428" s="57">
        <f ca="1">(R427-S427-T427)*(1+'Retirement Planning'!$J$23/12)</f>
        <v>1797984.1418697916</v>
      </c>
      <c r="S428" s="58">
        <f t="shared" ca="1" si="185"/>
        <v>808.33333333333337</v>
      </c>
      <c r="T428" s="273">
        <f t="shared" ca="1" si="174"/>
        <v>-2.2737367544323206E-12</v>
      </c>
      <c r="U428" s="57">
        <f ca="1">(U427-V427)*(1+'Retirement Planning'!$J$23/12)</f>
        <v>977524.32782595186</v>
      </c>
      <c r="V428" s="24">
        <f ca="1">IF(AND($B$10&lt;55,B428&lt;59.5),MIN(U428,MAX(0,(Y428+AA428+AJ428-G428)*'Retirement Planning'!$J$45)),IF(B428&lt;59.5,(MIN(U428,MAX(0,((Y428+AA428+AJ428)-G428-M428)*'Retirement Planning'!$J$45))),MIN(U428,MAX(0,(Y428+AA428+AJ428-G428-M428-K428-X428)*'Retirement Planning'!$J$45))))</f>
        <v>1926.6298313097425</v>
      </c>
      <c r="W428" s="7">
        <f t="shared" ca="1" si="175"/>
        <v>4647722.2360453159</v>
      </c>
      <c r="X428" s="7">
        <f>(IF(B428&gt;'Retirement Planning'!$J$34,IF('Retirement Planning'!$J$34=70,'Retirement Planning'!$J$37/12,IF('Retirement Planning'!$J$34=67,'Retirement Planning'!$J$36/12,'Retirement Planning'!$J$35/12)),0))*'Retirement Planning'!$J$38</f>
        <v>1213.6000000000001</v>
      </c>
      <c r="Y428" s="7">
        <f ca="1">'Retirement Planning'!$F$35*((1+'Retirement Planning'!$J$24)^(YEAR('Projected Retirement Drawdown'!C428)-YEAR(TODAY())))</f>
        <v>16721.18730807419</v>
      </c>
      <c r="Z428" s="7">
        <f ca="1">G428+M428+O428+0.85*X428+V428*'Retirement Planning'!$J$46+T428</f>
        <v>18733.100267184804</v>
      </c>
      <c r="AA428" s="7">
        <f ca="1">IF(MONTH(C428)=1,(((MIN(MAX(0,((SUM(Z416:Z427)-'Retirement Planning'!$I$53-'Retirement Planning'!$I$54)-'Retirement Planning'!$J$51)*'Retirement Planning'!$I$52))))+(MIN(MAX(0,((SUM(Z416:Z427)-'Retirement Planning'!$I$53-'Retirement Planning'!$I$54)-'Retirement Planning'!$J$50)*'Retirement Planning'!$I$51),('Retirement Planning'!$J$51-'Retirement Planning'!$J$50)*'Retirement Planning'!$I$51))+(MIN(MAX(0,((SUM(Z416:Z427)-'Retirement Planning'!$I$53-'Retirement Planning'!$I$54)-'Retirement Planning'!$J$49)*'Retirement Planning'!$I$50),('Retirement Planning'!$J$50-'Retirement Planning'!$J$49)*'Retirement Planning'!$I$50)+MIN(MAX(0,((SUM(Z416:Z427)-'Retirement Planning'!$I$53-'Retirement Planning'!$I$54)-'Retirement Planning'!$J$48)*'Retirement Planning'!$I$49),('Retirement Planning'!$J$49-'Retirement Planning'!$J$48)*'Retirement Planning'!$I$49)+MIN(((SUM(Z416:Z427)-'Retirement Planning'!$I$53-'Retirement Planning'!$I$54))*'Retirement Planning'!$I$48,('Retirement Planning'!$J$48)*'Retirement Planning'!$I$48))+(IF((SUM(Z416:Z427)-'Retirement Planning'!$I$54-'Retirement Planning'!$I$61)&gt;'Retirement Planning'!$J$59,(SUM(Z416:Z427)-'Retirement Planning'!$I$54-'Retirement Planning'!$I$61-'Retirement Planning'!$J$59)*'Retirement Planning'!$I$60+'Retirement Planning'!$K$59,IF((SUM(Z416:Z427)-'Retirement Planning'!$I$54-'Retirement Planning'!$I$61)&gt;'Retirement Planning'!$J$58,(SUM(Z416:Z427)-'Retirement Planning'!$I$54-'Retirement Planning'!$I$61-'Retirement Planning'!$J$58)*'Retirement Planning'!$I$59+'Retirement Planning'!$K$58,IF((SUM(Z416:Z427)-'Retirement Planning'!$I$54-'Retirement Planning'!$I$61)&gt;'Retirement Planning'!$J$57,(SUM(Z416:Z427)-'Retirement Planning'!$I$54-'Retirement Planning'!$I$61-'Retirement Planning'!$J$57)*'Retirement Planning'!$I$58+'Retirement Planning'!$K$57,IF((SUM(Z416:Z427)-'Retirement Planning'!$I$54-'Retirement Planning'!$I$61)&gt;'Retirement Planning'!$J$56,(SUM(Z416:Z427)-'Retirement Planning'!$I$54-'Retirement Planning'!$I$61-'Retirement Planning'!$J$56)*'Retirement Planning'!$I$57+'Retirement Planning'!$K$56,(SUM(Z416:Z427)-'Retirement Planning'!$I$54-'Retirement Planning'!$I$61)*'Retirement Planning'!$I$56))))))/12,AA427)</f>
        <v>5005.9656054621582</v>
      </c>
      <c r="AB428" s="104">
        <f t="shared" ca="1" si="164"/>
        <v>0.27761530706031751</v>
      </c>
      <c r="AC428" s="7">
        <f>IF(B428&lt;65,'Retirement Planning'!$J$28,0)</f>
        <v>0</v>
      </c>
      <c r="AD428" s="7">
        <f>IF(B428&lt;65,'Retirement Planning'!$J$29/12,0)</f>
        <v>0</v>
      </c>
      <c r="AE428" s="22">
        <f>'Retirement Planning'!$J$31/12</f>
        <v>58.333333333333336</v>
      </c>
      <c r="AF428" s="22">
        <f>'Retirement Planning'!$J$32/12</f>
        <v>66.666666666666671</v>
      </c>
      <c r="AG428" s="7">
        <f>IF($B428&gt;64.9,'Retirement Planning'!$J$39/12,0)</f>
        <v>183.33333333333334</v>
      </c>
      <c r="AH428" s="7">
        <f>IF($B428&gt;64.9,'Retirement Planning'!$J$40/12,0)</f>
        <v>258.33333333333331</v>
      </c>
      <c r="AI428" s="7">
        <f>IF($B428&gt;64.9,'Retirement Planning'!$J$41/12,0)</f>
        <v>558.33333333333337</v>
      </c>
      <c r="AJ428" s="7">
        <f t="shared" ca="1" si="176"/>
        <v>316.66666666666663</v>
      </c>
      <c r="AK428" s="3" t="str">
        <f t="shared" ca="1" si="190"/>
        <v>N/A</v>
      </c>
      <c r="AL428" s="6" t="str">
        <f t="shared" ca="1" si="191"/>
        <v>N/A</v>
      </c>
      <c r="AM428" s="7">
        <f t="shared" ca="1" si="177"/>
        <v>-6.8212102632969618E-13</v>
      </c>
      <c r="AN428" s="7">
        <f t="shared" ca="1" si="178"/>
        <v>22852.152913536349</v>
      </c>
      <c r="AO428" s="7">
        <f t="shared" si="179"/>
        <v>1125</v>
      </c>
    </row>
    <row r="429" spans="1:41" x14ac:dyDescent="0.2">
      <c r="A429">
        <f t="shared" si="180"/>
        <v>50</v>
      </c>
      <c r="B429" s="5">
        <f t="shared" si="181"/>
        <v>91.2</v>
      </c>
      <c r="C429" s="56">
        <f t="shared" si="182"/>
        <v>59172</v>
      </c>
      <c r="D429" s="57">
        <f ca="1">IF(AND(B428&lt;59.5,OR(B429&gt;59.5,B429=59.5)),(D428-E428+J428-K428)*(1+'Retirement Planning'!$J$23/12),(D428-E428)*(1+'Retirement Planning'!$J$23/12))</f>
        <v>1209567.776487251</v>
      </c>
      <c r="E429" s="58">
        <f t="shared" ca="1" si="171"/>
        <v>2348.7443921466074</v>
      </c>
      <c r="F429" s="57">
        <f ca="1">IF(AND(OR(B429&gt;59.5,B429=59.5),B428&lt;59.5),(F428-G428+L428-M428+N428-O428)*(1+'Retirement Planning'!$J$23/12),(F428-G428)*(1+'Retirement Planning'!$J$23/12))</f>
        <v>656870.01386435004</v>
      </c>
      <c r="G429" s="58">
        <f ca="1">IF(AND($B$10&lt;55,B429&lt;59.5),'Retirement Planning'!$J$25,IF(OR(B429&gt;59.5,B429=59.5),MAX(0,MIN(F429,IF(D429&lt;2500,((Y429+AJ429+AA429))-X429,((Y429+AJ429+AA429)*'Retirement Planning'!$J$44)-X429))),0))</f>
        <v>17329.118885367952</v>
      </c>
      <c r="H429" s="255">
        <f ca="1">IF(MONTH(C429)=1,IF(B429&gt;69.5,F429/(INDEX('Retirement Planning'!D$1:D$264,(160+INT(B429))))/12,0),IF(F429=0,0,H428))</f>
        <v>9952.5759676416674</v>
      </c>
      <c r="I429" s="262">
        <f t="shared" ca="1" si="172"/>
        <v>0</v>
      </c>
      <c r="J429" s="254">
        <f ca="1">IF(AND(B428&lt;59.5,OR(B429=59.5,B429&gt;59.5)),0,(J428-K428)*(1+'Retirement Planning'!$J$23/12))</f>
        <v>0</v>
      </c>
      <c r="K429" s="58">
        <f t="shared" ca="1" si="173"/>
        <v>0</v>
      </c>
      <c r="L429" s="57">
        <f>IF(AND(OR(B429&gt;59.5,B429=59.5),B428&lt;59.5),0,(L428-M428)*(1+'Retirement Planning'!$J$23/12))</f>
        <v>0</v>
      </c>
      <c r="M429" s="59">
        <f>IF(AND($B$10&lt;55,B429&lt;59.5),0,IF(B429&lt;59.5,MAX(0,MIN((($Y429+$AJ429+AA429)*'Retirement Planning'!$J$44)-$G429-$X429,L429)),0))</f>
        <v>0</v>
      </c>
      <c r="N429" s="57">
        <f ca="1">(N428-O428)*(1+'Retirement Planning'!$J$23/12)</f>
        <v>0</v>
      </c>
      <c r="O429" s="59">
        <f ca="1">IF(B429&gt;59.5,MAX(0,MIN((AA429+$Y429+$AJ429)*(IF(D429&lt;(MIN(E417:E428)+1),1,'Retirement Planning'!$J$44))-M429-$G429-$X429-(IF(D429&lt;(MIN(E417:E428)+1),D429,0)),N429)),0)</f>
        <v>0</v>
      </c>
      <c r="P429" s="57">
        <f t="shared" si="183"/>
        <v>0</v>
      </c>
      <c r="Q429" s="58">
        <f t="shared" si="184"/>
        <v>0</v>
      </c>
      <c r="R429" s="57">
        <f ca="1">(R428-S428-T428)*(1+'Retirement Planning'!$J$23/12)</f>
        <v>1809905.8038469248</v>
      </c>
      <c r="S429" s="58">
        <f t="shared" ca="1" si="185"/>
        <v>808.33333333333337</v>
      </c>
      <c r="T429" s="273">
        <f t="shared" ca="1" si="174"/>
        <v>-2.7284841053187847E-12</v>
      </c>
      <c r="U429" s="57">
        <f ca="1">(U428-V428)*(1+'Retirement Planning'!$J$23/12)</f>
        <v>982508.18168877077</v>
      </c>
      <c r="V429" s="24">
        <f ca="1">IF(AND($B$10&lt;55,B429&lt;59.5),MIN(U429,MAX(0,(Y429+AA429+AJ429-G429)*'Retirement Planning'!$J$45)),IF(B429&lt;59.5,(MIN(U429,MAX(0,((Y429+AA429+AJ429)-G429-M429)*'Retirement Planning'!$J$45))),MIN(U429,MAX(0,(Y429+AA429+AJ429-G429-M429-K429-X429)*'Retirement Planning'!$J$45))))</f>
        <v>2000.7822599767385</v>
      </c>
      <c r="W429" s="7">
        <f t="shared" ca="1" si="175"/>
        <v>4658851.7758872965</v>
      </c>
      <c r="X429" s="7">
        <f>(IF(B429&gt;'Retirement Planning'!$J$34,IF('Retirement Planning'!$J$34=70,'Retirement Planning'!$J$37/12,IF('Retirement Planning'!$J$34=67,'Retirement Planning'!$J$36/12,'Retirement Planning'!$J$35/12)),0))*'Retirement Planning'!$J$38</f>
        <v>1213.6000000000001</v>
      </c>
      <c r="Y429" s="7">
        <f ca="1">'Retirement Planning'!$F$35*((1+'Retirement Planning'!$J$24)^(YEAR('Projected Retirement Drawdown'!C429)-YEAR(TODAY())))</f>
        <v>17306.428863856785</v>
      </c>
      <c r="Z429" s="7">
        <f ca="1">G429+M429+O429+0.85*X429+V429*'Retirement Planning'!$J$46+T429</f>
        <v>19461.109128355158</v>
      </c>
      <c r="AA429" s="7">
        <f ca="1">IF(MONTH(C429)=1,(((MIN(MAX(0,((SUM(Z417:Z428)-'Retirement Planning'!$I$53-'Retirement Planning'!$I$54)-'Retirement Planning'!$J$51)*'Retirement Planning'!$I$52))))+(MIN(MAX(0,((SUM(Z417:Z428)-'Retirement Planning'!$I$53-'Retirement Planning'!$I$54)-'Retirement Planning'!$J$50)*'Retirement Planning'!$I$51),('Retirement Planning'!$J$51-'Retirement Planning'!$J$50)*'Retirement Planning'!$I$51))+(MIN(MAX(0,((SUM(Z417:Z428)-'Retirement Planning'!$I$53-'Retirement Planning'!$I$54)-'Retirement Planning'!$J$49)*'Retirement Planning'!$I$50),('Retirement Planning'!$J$50-'Retirement Planning'!$J$49)*'Retirement Planning'!$I$50)+MIN(MAX(0,((SUM(Z417:Z428)-'Retirement Planning'!$I$53-'Retirement Planning'!$I$54)-'Retirement Planning'!$J$48)*'Retirement Planning'!$I$49),('Retirement Planning'!$J$49-'Retirement Planning'!$J$48)*'Retirement Planning'!$I$49)+MIN(((SUM(Z417:Z428)-'Retirement Planning'!$I$53-'Retirement Planning'!$I$54))*'Retirement Planning'!$I$48,('Retirement Planning'!$J$48)*'Retirement Planning'!$I$48))+(IF((SUM(Z417:Z428)-'Retirement Planning'!$I$54-'Retirement Planning'!$I$61)&gt;'Retirement Planning'!$J$59,(SUM(Z417:Z428)-'Retirement Planning'!$I$54-'Retirement Planning'!$I$61-'Retirement Planning'!$J$59)*'Retirement Planning'!$I$60+'Retirement Planning'!$K$59,IF((SUM(Z417:Z428)-'Retirement Planning'!$I$54-'Retirement Planning'!$I$61)&gt;'Retirement Planning'!$J$58,(SUM(Z417:Z428)-'Retirement Planning'!$I$54-'Retirement Planning'!$I$61-'Retirement Planning'!$J$58)*'Retirement Planning'!$I$59+'Retirement Planning'!$K$58,IF((SUM(Z417:Z428)-'Retirement Planning'!$I$54-'Retirement Planning'!$I$61)&gt;'Retirement Planning'!$J$57,(SUM(Z417:Z428)-'Retirement Planning'!$I$54-'Retirement Planning'!$I$61-'Retirement Planning'!$J$57)*'Retirement Planning'!$I$58+'Retirement Planning'!$K$57,IF((SUM(Z417:Z428)-'Retirement Planning'!$I$54-'Retirement Planning'!$I$61)&gt;'Retirement Planning'!$J$56,(SUM(Z417:Z428)-'Retirement Planning'!$I$54-'Retirement Planning'!$I$61-'Retirement Planning'!$J$56)*'Retirement Planning'!$I$57+'Retirement Planning'!$K$56,(SUM(Z417:Z428)-'Retirement Planning'!$I$54-'Retirement Planning'!$I$61)*'Retirement Planning'!$I$56))))))/12,AA428)</f>
        <v>5269.1500069678441</v>
      </c>
      <c r="AB429" s="104">
        <f t="shared" ref="AB429" ca="1" si="192">SUM(AA429:AA440)/SUM(Z417:Z428)</f>
        <v>0.28127485209684872</v>
      </c>
      <c r="AC429" s="7">
        <f>IF(B429&lt;65,'Retirement Planning'!$J$28,0)</f>
        <v>0</v>
      </c>
      <c r="AD429" s="7">
        <f>IF(B429&lt;65,'Retirement Planning'!$J$29/12,0)</f>
        <v>0</v>
      </c>
      <c r="AE429" s="22">
        <f>'Retirement Planning'!$J$31/12</f>
        <v>58.333333333333336</v>
      </c>
      <c r="AF429" s="22">
        <f>'Retirement Planning'!$J$32/12</f>
        <v>66.666666666666671</v>
      </c>
      <c r="AG429" s="7">
        <f>IF($B429&gt;64.9,'Retirement Planning'!$J$39/12,0)</f>
        <v>183.33333333333334</v>
      </c>
      <c r="AH429" s="7">
        <f>IF($B429&gt;64.9,'Retirement Planning'!$J$40/12,0)</f>
        <v>258.33333333333331</v>
      </c>
      <c r="AI429" s="7">
        <f>IF($B429&gt;64.9,'Retirement Planning'!$J$41/12,0)</f>
        <v>558.33333333333337</v>
      </c>
      <c r="AJ429" s="7">
        <f t="shared" ca="1" si="176"/>
        <v>316.66666666666663</v>
      </c>
      <c r="AK429" s="3" t="str">
        <f t="shared" ca="1" si="190"/>
        <v>N/A</v>
      </c>
      <c r="AL429" s="6" t="str">
        <f t="shared" ca="1" si="191"/>
        <v>N/A</v>
      </c>
      <c r="AM429" s="7">
        <f t="shared" ca="1" si="177"/>
        <v>-6.8212102632969618E-13</v>
      </c>
      <c r="AN429" s="7">
        <f t="shared" ca="1" si="178"/>
        <v>23700.578870824629</v>
      </c>
      <c r="AO429" s="7">
        <f t="shared" si="179"/>
        <v>1125</v>
      </c>
    </row>
    <row r="430" spans="1:41" x14ac:dyDescent="0.2">
      <c r="A430">
        <f t="shared" si="180"/>
        <v>50</v>
      </c>
      <c r="B430" s="5">
        <f t="shared" si="181"/>
        <v>91.3</v>
      </c>
      <c r="C430" s="56">
        <f t="shared" si="182"/>
        <v>59203</v>
      </c>
      <c r="D430" s="57">
        <f ca="1">IF(AND(B429&lt;59.5,OR(B430&gt;59.5,B430=59.5)),(D429-E429+J429-K429)*(1+'Retirement Planning'!$J$23/12),(D429-E429)*(1+'Retirement Planning'!$J$23/12))</f>
        <v>1215770.166905778</v>
      </c>
      <c r="E430" s="58">
        <f t="shared" ca="1" si="171"/>
        <v>2348.7443921466074</v>
      </c>
      <c r="F430" s="57">
        <f ca="1">IF(AND(OR(B430&gt;59.5,B430=59.5),B429&lt;59.5),(F429-G429+L429-M429+N429-O429)*(1+'Retirement Planning'!$J$23/12),(F429-G429)*(1+'Retirement Planning'!$J$23/12))</f>
        <v>644070.97631841653</v>
      </c>
      <c r="G430" s="58">
        <f ca="1">IF(AND($B$10&lt;55,B430&lt;59.5),'Retirement Planning'!$J$25,IF(OR(B430&gt;59.5,B430=59.5),MAX(0,MIN(F430,IF(D430&lt;2500,((Y430+AJ430+AA430))-X430,((Y430+AJ430+AA430)*'Retirement Planning'!$J$44)-X430))),0))</f>
        <v>17329.118885367952</v>
      </c>
      <c r="H430" s="255">
        <f ca="1">IF(MONTH(C430)=1,IF(B430&gt;69.5,F430/(INDEX('Retirement Planning'!D$1:D$264,(160+INT(B430))))/12,0),IF(F430=0,0,H429))</f>
        <v>9952.5759676416674</v>
      </c>
      <c r="I430" s="262">
        <f t="shared" ca="1" si="172"/>
        <v>0</v>
      </c>
      <c r="J430" s="254">
        <f ca="1">IF(AND(B429&lt;59.5,OR(B430=59.5,B430&gt;59.5)),0,(J429-K429)*(1+'Retirement Planning'!$J$23/12))</f>
        <v>0</v>
      </c>
      <c r="K430" s="58">
        <f t="shared" ca="1" si="173"/>
        <v>0</v>
      </c>
      <c r="L430" s="57">
        <f>IF(AND(OR(B430&gt;59.5,B430=59.5),B429&lt;59.5),0,(L429-M429)*(1+'Retirement Planning'!$J$23/12))</f>
        <v>0</v>
      </c>
      <c r="M430" s="59">
        <f>IF(AND($B$10&lt;55,B430&lt;59.5),0,IF(B430&lt;59.5,MAX(0,MIN((($Y430+$AJ430+AA430)*'Retirement Planning'!$J$44)-$G430-$X430,L430)),0))</f>
        <v>0</v>
      </c>
      <c r="N430" s="57">
        <f ca="1">(N429-O429)*(1+'Retirement Planning'!$J$23/12)</f>
        <v>0</v>
      </c>
      <c r="O430" s="59">
        <f ca="1">IF(B430&gt;59.5,MAX(0,MIN((AA430+$Y430+$AJ430)*(IF(D430&lt;(MIN(E418:E429)+1),1,'Retirement Planning'!$J$44))-M430-$G430-$X430-(IF(D430&lt;(MIN(E418:E429)+1),D430,0)),N430)),0)</f>
        <v>0</v>
      </c>
      <c r="P430" s="57">
        <f t="shared" si="183"/>
        <v>0</v>
      </c>
      <c r="Q430" s="58">
        <f t="shared" si="184"/>
        <v>0</v>
      </c>
      <c r="R430" s="57">
        <f ca="1">(R429-S429-T429)*(1+'Retirement Planning'!$J$23/12)</f>
        <v>1821911.9109297295</v>
      </c>
      <c r="S430" s="58">
        <f t="shared" ca="1" si="185"/>
        <v>808.33333333333337</v>
      </c>
      <c r="T430" s="273">
        <f t="shared" ca="1" si="174"/>
        <v>-2.7284841053187847E-12</v>
      </c>
      <c r="U430" s="57">
        <f ca="1">(U429-V429)*(1+'Retirement Planning'!$J$23/12)</f>
        <v>987452.66017474805</v>
      </c>
      <c r="V430" s="24">
        <f ca="1">IF(AND($B$10&lt;55,B430&lt;59.5),MIN(U430,MAX(0,(Y430+AA430+AJ430-G430)*'Retirement Planning'!$J$45)),IF(B430&lt;59.5,(MIN(U430,MAX(0,((Y430+AA430+AJ430)-G430-M430)*'Retirement Planning'!$J$45))),MIN(U430,MAX(0,(Y430+AA430+AJ430-G430-M430-K430-X430)*'Retirement Planning'!$J$45))))</f>
        <v>2000.7822599767385</v>
      </c>
      <c r="W430" s="7">
        <f t="shared" ca="1" si="175"/>
        <v>4669205.7143286718</v>
      </c>
      <c r="X430" s="7">
        <f>(IF(B430&gt;'Retirement Planning'!$J$34,IF('Retirement Planning'!$J$34=70,'Retirement Planning'!$J$37/12,IF('Retirement Planning'!$J$34=67,'Retirement Planning'!$J$36/12,'Retirement Planning'!$J$35/12)),0))*'Retirement Planning'!$J$38</f>
        <v>1213.6000000000001</v>
      </c>
      <c r="Y430" s="7">
        <f ca="1">'Retirement Planning'!$F$35*((1+'Retirement Planning'!$J$24)^(YEAR('Projected Retirement Drawdown'!C430)-YEAR(TODAY())))</f>
        <v>17306.428863856785</v>
      </c>
      <c r="Z430" s="7">
        <f ca="1">G430+M430+O430+0.85*X430+V430*'Retirement Planning'!$J$46+T430</f>
        <v>19461.109128355158</v>
      </c>
      <c r="AA430" s="7">
        <f ca="1">IF(MONTH(C430)=1,(((MIN(MAX(0,((SUM(Z418:Z429)-'Retirement Planning'!$I$53-'Retirement Planning'!$I$54)-'Retirement Planning'!$J$51)*'Retirement Planning'!$I$52))))+(MIN(MAX(0,((SUM(Z418:Z429)-'Retirement Planning'!$I$53-'Retirement Planning'!$I$54)-'Retirement Planning'!$J$50)*'Retirement Planning'!$I$51),('Retirement Planning'!$J$51-'Retirement Planning'!$J$50)*'Retirement Planning'!$I$51))+(MIN(MAX(0,((SUM(Z418:Z429)-'Retirement Planning'!$I$53-'Retirement Planning'!$I$54)-'Retirement Planning'!$J$49)*'Retirement Planning'!$I$50),('Retirement Planning'!$J$50-'Retirement Planning'!$J$49)*'Retirement Planning'!$I$50)+MIN(MAX(0,((SUM(Z418:Z429)-'Retirement Planning'!$I$53-'Retirement Planning'!$I$54)-'Retirement Planning'!$J$48)*'Retirement Planning'!$I$49),('Retirement Planning'!$J$49-'Retirement Planning'!$J$48)*'Retirement Planning'!$I$49)+MIN(((SUM(Z418:Z429)-'Retirement Planning'!$I$53-'Retirement Planning'!$I$54))*'Retirement Planning'!$I$48,('Retirement Planning'!$J$48)*'Retirement Planning'!$I$48))+(IF((SUM(Z418:Z429)-'Retirement Planning'!$I$54-'Retirement Planning'!$I$61)&gt;'Retirement Planning'!$J$59,(SUM(Z418:Z429)-'Retirement Planning'!$I$54-'Retirement Planning'!$I$61-'Retirement Planning'!$J$59)*'Retirement Planning'!$I$60+'Retirement Planning'!$K$59,IF((SUM(Z418:Z429)-'Retirement Planning'!$I$54-'Retirement Planning'!$I$61)&gt;'Retirement Planning'!$J$58,(SUM(Z418:Z429)-'Retirement Planning'!$I$54-'Retirement Planning'!$I$61-'Retirement Planning'!$J$58)*'Retirement Planning'!$I$59+'Retirement Planning'!$K$58,IF((SUM(Z418:Z429)-'Retirement Planning'!$I$54-'Retirement Planning'!$I$61)&gt;'Retirement Planning'!$J$57,(SUM(Z418:Z429)-'Retirement Planning'!$I$54-'Retirement Planning'!$I$61-'Retirement Planning'!$J$57)*'Retirement Planning'!$I$58+'Retirement Planning'!$K$57,IF((SUM(Z418:Z429)-'Retirement Planning'!$I$54-'Retirement Planning'!$I$61)&gt;'Retirement Planning'!$J$56,(SUM(Z418:Z429)-'Retirement Planning'!$I$54-'Retirement Planning'!$I$61-'Retirement Planning'!$J$56)*'Retirement Planning'!$I$57+'Retirement Planning'!$K$56,(SUM(Z418:Z429)-'Retirement Planning'!$I$54-'Retirement Planning'!$I$61)*'Retirement Planning'!$I$56))))))/12,AA429)</f>
        <v>5269.1500069678441</v>
      </c>
      <c r="AB430" s="104">
        <f t="shared" ref="AB430:AB493" ca="1" si="193">AB429</f>
        <v>0.28127485209684872</v>
      </c>
      <c r="AC430" s="7">
        <f>IF(B430&lt;65,'Retirement Planning'!$J$28,0)</f>
        <v>0</v>
      </c>
      <c r="AD430" s="7">
        <f>IF(B430&lt;65,'Retirement Planning'!$J$29/12,0)</f>
        <v>0</v>
      </c>
      <c r="AE430" s="22">
        <f>'Retirement Planning'!$J$31/12</f>
        <v>58.333333333333336</v>
      </c>
      <c r="AF430" s="22">
        <f>'Retirement Planning'!$J$32/12</f>
        <v>66.666666666666671</v>
      </c>
      <c r="AG430" s="7">
        <f>IF($B430&gt;64.9,'Retirement Planning'!$J$39/12,0)</f>
        <v>183.33333333333334</v>
      </c>
      <c r="AH430" s="7">
        <f>IF($B430&gt;64.9,'Retirement Planning'!$J$40/12,0)</f>
        <v>258.33333333333331</v>
      </c>
      <c r="AI430" s="7">
        <f>IF($B430&gt;64.9,'Retirement Planning'!$J$41/12,0)</f>
        <v>558.33333333333337</v>
      </c>
      <c r="AJ430" s="7">
        <f t="shared" ca="1" si="176"/>
        <v>316.66666666666663</v>
      </c>
      <c r="AK430" s="3" t="str">
        <f t="shared" ca="1" si="190"/>
        <v>N/A</v>
      </c>
      <c r="AL430" s="6" t="str">
        <f t="shared" ca="1" si="191"/>
        <v>N/A</v>
      </c>
      <c r="AM430" s="7">
        <f t="shared" ca="1" si="177"/>
        <v>-6.8212102632969618E-13</v>
      </c>
      <c r="AN430" s="7">
        <f t="shared" ca="1" si="178"/>
        <v>23700.578870824629</v>
      </c>
      <c r="AO430" s="7">
        <f t="shared" si="179"/>
        <v>1125</v>
      </c>
    </row>
    <row r="431" spans="1:41" x14ac:dyDescent="0.2">
      <c r="A431">
        <f t="shared" si="180"/>
        <v>50</v>
      </c>
      <c r="B431" s="5">
        <f t="shared" si="181"/>
        <v>91.4</v>
      </c>
      <c r="C431" s="56">
        <f t="shared" si="182"/>
        <v>59231</v>
      </c>
      <c r="D431" s="57">
        <f ca="1">IF(AND(B430&lt;59.5,OR(B431&gt;59.5,B431=59.5)),(D430-E430+J430-K430)*(1+'Retirement Planning'!$J$23/12),(D430-E430)*(1+'Retirement Planning'!$J$23/12))</f>
        <v>1222016.4909231029</v>
      </c>
      <c r="E431" s="58">
        <f t="shared" ca="1" si="171"/>
        <v>2348.7443921466074</v>
      </c>
      <c r="F431" s="57">
        <f ca="1">IF(AND(OR(B431&gt;59.5,B431=59.5),B430&lt;59.5),(F430-G430+L430-M430+N430-O430)*(1+'Retirement Planning'!$J$23/12),(F430-G430)*(1+'Retirement Planning'!$J$23/12))</f>
        <v>631181.27892319928</v>
      </c>
      <c r="G431" s="58">
        <f ca="1">IF(AND($B$10&lt;55,B431&lt;59.5),'Retirement Planning'!$J$25,IF(OR(B431&gt;59.5,B431=59.5),MAX(0,MIN(F431,IF(D431&lt;2500,((Y431+AJ431+AA431))-X431,((Y431+AJ431+AA431)*'Retirement Planning'!$J$44)-X431))),0))</f>
        <v>17329.118885367952</v>
      </c>
      <c r="H431" s="255">
        <f ca="1">IF(MONTH(C431)=1,IF(B431&gt;69.5,F431/(INDEX('Retirement Planning'!D$1:D$264,(160+INT(B431))))/12,0),IF(F431=0,0,H430))</f>
        <v>9952.5759676416674</v>
      </c>
      <c r="I431" s="262">
        <f t="shared" ca="1" si="172"/>
        <v>0</v>
      </c>
      <c r="J431" s="254">
        <f ca="1">IF(AND(B430&lt;59.5,OR(B431=59.5,B431&gt;59.5)),0,(J430-K430)*(1+'Retirement Planning'!$J$23/12))</f>
        <v>0</v>
      </c>
      <c r="K431" s="58">
        <f t="shared" ca="1" si="173"/>
        <v>0</v>
      </c>
      <c r="L431" s="57">
        <f>IF(AND(OR(B431&gt;59.5,B431=59.5),B430&lt;59.5),0,(L430-M430)*(1+'Retirement Planning'!$J$23/12))</f>
        <v>0</v>
      </c>
      <c r="M431" s="59">
        <f>IF(AND($B$10&lt;55,B431&lt;59.5),0,IF(B431&lt;59.5,MAX(0,MIN((($Y431+$AJ431+AA431)*'Retirement Planning'!$J$44)-$G431-$X431,L431)),0))</f>
        <v>0</v>
      </c>
      <c r="N431" s="57">
        <f ca="1">(N430-O430)*(1+'Retirement Planning'!$J$23/12)</f>
        <v>0</v>
      </c>
      <c r="O431" s="59">
        <f ca="1">IF(B431&gt;59.5,MAX(0,MIN((AA431+$Y431+$AJ431)*(IF(D431&lt;(MIN(E419:E430)+1),1,'Retirement Planning'!$J$44))-M431-$G431-$X431-(IF(D431&lt;(MIN(E419:E430)+1),D431,0)),N431)),0)</f>
        <v>0</v>
      </c>
      <c r="P431" s="57">
        <f t="shared" si="183"/>
        <v>0</v>
      </c>
      <c r="Q431" s="58">
        <f t="shared" si="184"/>
        <v>0</v>
      </c>
      <c r="R431" s="57">
        <f ca="1">(R430-S430-T430)*(1+'Retirement Planning'!$J$23/12)</f>
        <v>1834003.0612710374</v>
      </c>
      <c r="S431" s="58">
        <f t="shared" ca="1" si="185"/>
        <v>808.33333333333337</v>
      </c>
      <c r="T431" s="273">
        <f t="shared" ca="1" si="174"/>
        <v>-2.7284841053187847E-12</v>
      </c>
      <c r="U431" s="57">
        <f ca="1">(U430-V430)*(1+'Retirement Planning'!$J$23/12)</f>
        <v>992432.16205000097</v>
      </c>
      <c r="V431" s="24">
        <f ca="1">IF(AND($B$10&lt;55,B431&lt;59.5),MIN(U431,MAX(0,(Y431+AA431+AJ431-G431)*'Retirement Planning'!$J$45)),IF(B431&lt;59.5,(MIN(U431,MAX(0,((Y431+AA431+AJ431)-G431-M431)*'Retirement Planning'!$J$45))),MIN(U431,MAX(0,(Y431+AA431+AJ431-G431-M431-K431-X431)*'Retirement Planning'!$J$45))))</f>
        <v>2000.7822599767385</v>
      </c>
      <c r="W431" s="7">
        <f t="shared" ca="1" si="175"/>
        <v>4679632.9931673408</v>
      </c>
      <c r="X431" s="7">
        <f>(IF(B431&gt;'Retirement Planning'!$J$34,IF('Retirement Planning'!$J$34=70,'Retirement Planning'!$J$37/12,IF('Retirement Planning'!$J$34=67,'Retirement Planning'!$J$36/12,'Retirement Planning'!$J$35/12)),0))*'Retirement Planning'!$J$38</f>
        <v>1213.6000000000001</v>
      </c>
      <c r="Y431" s="7">
        <f ca="1">'Retirement Planning'!$F$35*((1+'Retirement Planning'!$J$24)^(YEAR('Projected Retirement Drawdown'!C431)-YEAR(TODAY())))</f>
        <v>17306.428863856785</v>
      </c>
      <c r="Z431" s="7">
        <f ca="1">G431+M431+O431+0.85*X431+V431*'Retirement Planning'!$J$46+T431</f>
        <v>19461.109128355158</v>
      </c>
      <c r="AA431" s="7">
        <f ca="1">IF(MONTH(C431)=1,(((MIN(MAX(0,((SUM(Z419:Z430)-'Retirement Planning'!$I$53-'Retirement Planning'!$I$54)-'Retirement Planning'!$J$51)*'Retirement Planning'!$I$52))))+(MIN(MAX(0,((SUM(Z419:Z430)-'Retirement Planning'!$I$53-'Retirement Planning'!$I$54)-'Retirement Planning'!$J$50)*'Retirement Planning'!$I$51),('Retirement Planning'!$J$51-'Retirement Planning'!$J$50)*'Retirement Planning'!$I$51))+(MIN(MAX(0,((SUM(Z419:Z430)-'Retirement Planning'!$I$53-'Retirement Planning'!$I$54)-'Retirement Planning'!$J$49)*'Retirement Planning'!$I$50),('Retirement Planning'!$J$50-'Retirement Planning'!$J$49)*'Retirement Planning'!$I$50)+MIN(MAX(0,((SUM(Z419:Z430)-'Retirement Planning'!$I$53-'Retirement Planning'!$I$54)-'Retirement Planning'!$J$48)*'Retirement Planning'!$I$49),('Retirement Planning'!$J$49-'Retirement Planning'!$J$48)*'Retirement Planning'!$I$49)+MIN(((SUM(Z419:Z430)-'Retirement Planning'!$I$53-'Retirement Planning'!$I$54))*'Retirement Planning'!$I$48,('Retirement Planning'!$J$48)*'Retirement Planning'!$I$48))+(IF((SUM(Z419:Z430)-'Retirement Planning'!$I$54-'Retirement Planning'!$I$61)&gt;'Retirement Planning'!$J$59,(SUM(Z419:Z430)-'Retirement Planning'!$I$54-'Retirement Planning'!$I$61-'Retirement Planning'!$J$59)*'Retirement Planning'!$I$60+'Retirement Planning'!$K$59,IF((SUM(Z419:Z430)-'Retirement Planning'!$I$54-'Retirement Planning'!$I$61)&gt;'Retirement Planning'!$J$58,(SUM(Z419:Z430)-'Retirement Planning'!$I$54-'Retirement Planning'!$I$61-'Retirement Planning'!$J$58)*'Retirement Planning'!$I$59+'Retirement Planning'!$K$58,IF((SUM(Z419:Z430)-'Retirement Planning'!$I$54-'Retirement Planning'!$I$61)&gt;'Retirement Planning'!$J$57,(SUM(Z419:Z430)-'Retirement Planning'!$I$54-'Retirement Planning'!$I$61-'Retirement Planning'!$J$57)*'Retirement Planning'!$I$58+'Retirement Planning'!$K$57,IF((SUM(Z419:Z430)-'Retirement Planning'!$I$54-'Retirement Planning'!$I$61)&gt;'Retirement Planning'!$J$56,(SUM(Z419:Z430)-'Retirement Planning'!$I$54-'Retirement Planning'!$I$61-'Retirement Planning'!$J$56)*'Retirement Planning'!$I$57+'Retirement Planning'!$K$56,(SUM(Z419:Z430)-'Retirement Planning'!$I$54-'Retirement Planning'!$I$61)*'Retirement Planning'!$I$56))))))/12,AA430)</f>
        <v>5269.1500069678441</v>
      </c>
      <c r="AB431" s="104">
        <f t="shared" ca="1" si="193"/>
        <v>0.28127485209684872</v>
      </c>
      <c r="AC431" s="7">
        <f>IF(B431&lt;65,'Retirement Planning'!$J$28,0)</f>
        <v>0</v>
      </c>
      <c r="AD431" s="7">
        <f>IF(B431&lt;65,'Retirement Planning'!$J$29/12,0)</f>
        <v>0</v>
      </c>
      <c r="AE431" s="22">
        <f>'Retirement Planning'!$J$31/12</f>
        <v>58.333333333333336</v>
      </c>
      <c r="AF431" s="22">
        <f>'Retirement Planning'!$J$32/12</f>
        <v>66.666666666666671</v>
      </c>
      <c r="AG431" s="7">
        <f>IF($B431&gt;64.9,'Retirement Planning'!$J$39/12,0)</f>
        <v>183.33333333333334</v>
      </c>
      <c r="AH431" s="7">
        <f>IF($B431&gt;64.9,'Retirement Planning'!$J$40/12,0)</f>
        <v>258.33333333333331</v>
      </c>
      <c r="AI431" s="7">
        <f>IF($B431&gt;64.9,'Retirement Planning'!$J$41/12,0)</f>
        <v>558.33333333333337</v>
      </c>
      <c r="AJ431" s="7">
        <f t="shared" ca="1" si="176"/>
        <v>316.66666666666663</v>
      </c>
      <c r="AK431" s="3" t="str">
        <f t="shared" ca="1" si="190"/>
        <v>N/A</v>
      </c>
      <c r="AL431" s="6" t="str">
        <f t="shared" ca="1" si="191"/>
        <v>N/A</v>
      </c>
      <c r="AM431" s="7">
        <f t="shared" ca="1" si="177"/>
        <v>-6.8212102632969618E-13</v>
      </c>
      <c r="AN431" s="7">
        <f t="shared" ca="1" si="178"/>
        <v>23700.578870824629</v>
      </c>
      <c r="AO431" s="7">
        <f t="shared" si="179"/>
        <v>1125</v>
      </c>
    </row>
    <row r="432" spans="1:41" x14ac:dyDescent="0.2">
      <c r="A432">
        <f t="shared" si="180"/>
        <v>50</v>
      </c>
      <c r="B432" s="5">
        <f t="shared" si="181"/>
        <v>91.5</v>
      </c>
      <c r="C432" s="56">
        <f t="shared" si="182"/>
        <v>59262</v>
      </c>
      <c r="D432" s="57">
        <f ca="1">IF(AND(B431&lt;59.5,OR(B432&gt;59.5,B432=59.5)),(D431-E431+J431-K431)*(1+'Retirement Planning'!$J$23/12),(D431-E431)*(1+'Retirement Planning'!$J$23/12))</f>
        <v>1228307.0597355505</v>
      </c>
      <c r="E432" s="58">
        <f t="shared" ca="1" si="171"/>
        <v>2348.7443921466074</v>
      </c>
      <c r="F432" s="57">
        <f ca="1">IF(AND(OR(B432&gt;59.5,B432=59.5),B431&lt;59.5),(F431-G431+L431-M431+N431-O431)*(1+'Retirement Planning'!$J$23/12),(F431-G431)*(1+'Retirement Planning'!$J$23/12))</f>
        <v>618200.27950476587</v>
      </c>
      <c r="G432" s="58">
        <f ca="1">IF(AND($B$10&lt;55,B432&lt;59.5),'Retirement Planning'!$J$25,IF(OR(B432&gt;59.5,B432=59.5),MAX(0,MIN(F432,IF(D432&lt;2500,((Y432+AJ432+AA432))-X432,((Y432+AJ432+AA432)*'Retirement Planning'!$J$44)-X432))),0))</f>
        <v>17329.118885367952</v>
      </c>
      <c r="H432" s="255">
        <f ca="1">IF(MONTH(C432)=1,IF(B432&gt;69.5,F432/(INDEX('Retirement Planning'!D$1:D$264,(160+INT(B432))))/12,0),IF(F432=0,0,H431))</f>
        <v>9952.5759676416674</v>
      </c>
      <c r="I432" s="262">
        <f t="shared" ca="1" si="172"/>
        <v>0</v>
      </c>
      <c r="J432" s="254">
        <f ca="1">IF(AND(B431&lt;59.5,OR(B432=59.5,B432&gt;59.5)),0,(J431-K431)*(1+'Retirement Planning'!$J$23/12))</f>
        <v>0</v>
      </c>
      <c r="K432" s="58">
        <f t="shared" ca="1" si="173"/>
        <v>0</v>
      </c>
      <c r="L432" s="57">
        <f>IF(AND(OR(B432&gt;59.5,B432=59.5),B431&lt;59.5),0,(L431-M431)*(1+'Retirement Planning'!$J$23/12))</f>
        <v>0</v>
      </c>
      <c r="M432" s="59">
        <f>IF(AND($B$10&lt;55,B432&lt;59.5),0,IF(B432&lt;59.5,MAX(0,MIN((($Y432+$AJ432+AA432)*'Retirement Planning'!$J$44)-$G432-$X432,L432)),0))</f>
        <v>0</v>
      </c>
      <c r="N432" s="57">
        <f ca="1">(N431-O431)*(1+'Retirement Planning'!$J$23/12)</f>
        <v>0</v>
      </c>
      <c r="O432" s="59">
        <f ca="1">IF(B432&gt;59.5,MAX(0,MIN((AA432+$Y432+$AJ432)*(IF(D432&lt;(MIN(E420:E431)+1),1,'Retirement Planning'!$J$44))-M432-$G432-$X432-(IF(D432&lt;(MIN(E420:E431)+1),D432,0)),N432)),0)</f>
        <v>0</v>
      </c>
      <c r="P432" s="57">
        <f t="shared" si="183"/>
        <v>0</v>
      </c>
      <c r="Q432" s="58">
        <f t="shared" si="184"/>
        <v>0</v>
      </c>
      <c r="R432" s="57">
        <f ca="1">(R431-S431-T431)*(1+'Retirement Planning'!$J$23/12)</f>
        <v>1846179.8572605962</v>
      </c>
      <c r="S432" s="58">
        <f t="shared" ca="1" si="185"/>
        <v>808.33333333333337</v>
      </c>
      <c r="T432" s="273">
        <f t="shared" ca="1" si="174"/>
        <v>-2.7284841053187847E-12</v>
      </c>
      <c r="U432" s="57">
        <f ca="1">(U431-V431)*(1+'Retirement Planning'!$J$23/12)</f>
        <v>997446.93539687025</v>
      </c>
      <c r="V432" s="24">
        <f ca="1">IF(AND($B$10&lt;55,B432&lt;59.5),MIN(U432,MAX(0,(Y432+AA432+AJ432-G432)*'Retirement Planning'!$J$45)),IF(B432&lt;59.5,(MIN(U432,MAX(0,((Y432+AA432+AJ432)-G432-M432)*'Retirement Planning'!$J$45))),MIN(U432,MAX(0,(Y432+AA432+AJ432-G432-M432-K432-X432)*'Retirement Planning'!$J$45))))</f>
        <v>2000.7822599767385</v>
      </c>
      <c r="W432" s="7">
        <f t="shared" ca="1" si="175"/>
        <v>4690134.1318977829</v>
      </c>
      <c r="X432" s="7">
        <f>(IF(B432&gt;'Retirement Planning'!$J$34,IF('Retirement Planning'!$J$34=70,'Retirement Planning'!$J$37/12,IF('Retirement Planning'!$J$34=67,'Retirement Planning'!$J$36/12,'Retirement Planning'!$J$35/12)),0))*'Retirement Planning'!$J$38</f>
        <v>1213.6000000000001</v>
      </c>
      <c r="Y432" s="7">
        <f ca="1">'Retirement Planning'!$F$35*((1+'Retirement Planning'!$J$24)^(YEAR('Projected Retirement Drawdown'!C432)-YEAR(TODAY())))</f>
        <v>17306.428863856785</v>
      </c>
      <c r="Z432" s="7">
        <f ca="1">G432+M432+O432+0.85*X432+V432*'Retirement Planning'!$J$46+T432</f>
        <v>19461.109128355158</v>
      </c>
      <c r="AA432" s="7">
        <f ca="1">IF(MONTH(C432)=1,(((MIN(MAX(0,((SUM(Z420:Z431)-'Retirement Planning'!$I$53-'Retirement Planning'!$I$54)-'Retirement Planning'!$J$51)*'Retirement Planning'!$I$52))))+(MIN(MAX(0,((SUM(Z420:Z431)-'Retirement Planning'!$I$53-'Retirement Planning'!$I$54)-'Retirement Planning'!$J$50)*'Retirement Planning'!$I$51),('Retirement Planning'!$J$51-'Retirement Planning'!$J$50)*'Retirement Planning'!$I$51))+(MIN(MAX(0,((SUM(Z420:Z431)-'Retirement Planning'!$I$53-'Retirement Planning'!$I$54)-'Retirement Planning'!$J$49)*'Retirement Planning'!$I$50),('Retirement Planning'!$J$50-'Retirement Planning'!$J$49)*'Retirement Planning'!$I$50)+MIN(MAX(0,((SUM(Z420:Z431)-'Retirement Planning'!$I$53-'Retirement Planning'!$I$54)-'Retirement Planning'!$J$48)*'Retirement Planning'!$I$49),('Retirement Planning'!$J$49-'Retirement Planning'!$J$48)*'Retirement Planning'!$I$49)+MIN(((SUM(Z420:Z431)-'Retirement Planning'!$I$53-'Retirement Planning'!$I$54))*'Retirement Planning'!$I$48,('Retirement Planning'!$J$48)*'Retirement Planning'!$I$48))+(IF((SUM(Z420:Z431)-'Retirement Planning'!$I$54-'Retirement Planning'!$I$61)&gt;'Retirement Planning'!$J$59,(SUM(Z420:Z431)-'Retirement Planning'!$I$54-'Retirement Planning'!$I$61-'Retirement Planning'!$J$59)*'Retirement Planning'!$I$60+'Retirement Planning'!$K$59,IF((SUM(Z420:Z431)-'Retirement Planning'!$I$54-'Retirement Planning'!$I$61)&gt;'Retirement Planning'!$J$58,(SUM(Z420:Z431)-'Retirement Planning'!$I$54-'Retirement Planning'!$I$61-'Retirement Planning'!$J$58)*'Retirement Planning'!$I$59+'Retirement Planning'!$K$58,IF((SUM(Z420:Z431)-'Retirement Planning'!$I$54-'Retirement Planning'!$I$61)&gt;'Retirement Planning'!$J$57,(SUM(Z420:Z431)-'Retirement Planning'!$I$54-'Retirement Planning'!$I$61-'Retirement Planning'!$J$57)*'Retirement Planning'!$I$58+'Retirement Planning'!$K$57,IF((SUM(Z420:Z431)-'Retirement Planning'!$I$54-'Retirement Planning'!$I$61)&gt;'Retirement Planning'!$J$56,(SUM(Z420:Z431)-'Retirement Planning'!$I$54-'Retirement Planning'!$I$61-'Retirement Planning'!$J$56)*'Retirement Planning'!$I$57+'Retirement Planning'!$K$56,(SUM(Z420:Z431)-'Retirement Planning'!$I$54-'Retirement Planning'!$I$61)*'Retirement Planning'!$I$56))))))/12,AA431)</f>
        <v>5269.1500069678441</v>
      </c>
      <c r="AB432" s="104">
        <f t="shared" ca="1" si="193"/>
        <v>0.28127485209684872</v>
      </c>
      <c r="AC432" s="7">
        <f>IF(B432&lt;65,'Retirement Planning'!$J$28,0)</f>
        <v>0</v>
      </c>
      <c r="AD432" s="7">
        <f>IF(B432&lt;65,'Retirement Planning'!$J$29/12,0)</f>
        <v>0</v>
      </c>
      <c r="AE432" s="22">
        <f>'Retirement Planning'!$J$31/12</f>
        <v>58.333333333333336</v>
      </c>
      <c r="AF432" s="22">
        <f>'Retirement Planning'!$J$32/12</f>
        <v>66.666666666666671</v>
      </c>
      <c r="AG432" s="7">
        <f>IF($B432&gt;64.9,'Retirement Planning'!$J$39/12,0)</f>
        <v>183.33333333333334</v>
      </c>
      <c r="AH432" s="7">
        <f>IF($B432&gt;64.9,'Retirement Planning'!$J$40/12,0)</f>
        <v>258.33333333333331</v>
      </c>
      <c r="AI432" s="7">
        <f>IF($B432&gt;64.9,'Retirement Planning'!$J$41/12,0)</f>
        <v>558.33333333333337</v>
      </c>
      <c r="AJ432" s="7">
        <f t="shared" ca="1" si="176"/>
        <v>316.66666666666663</v>
      </c>
      <c r="AK432" s="3" t="str">
        <f t="shared" ca="1" si="190"/>
        <v>N/A</v>
      </c>
      <c r="AL432" s="6" t="str">
        <f t="shared" ca="1" si="191"/>
        <v>N/A</v>
      </c>
      <c r="AM432" s="7">
        <f t="shared" ca="1" si="177"/>
        <v>-6.8212102632969618E-13</v>
      </c>
      <c r="AN432" s="7">
        <f t="shared" ca="1" si="178"/>
        <v>23700.578870824629</v>
      </c>
      <c r="AO432" s="7">
        <f t="shared" si="179"/>
        <v>1125</v>
      </c>
    </row>
    <row r="433" spans="1:41" x14ac:dyDescent="0.2">
      <c r="A433">
        <f t="shared" si="180"/>
        <v>50</v>
      </c>
      <c r="B433" s="5">
        <f t="shared" si="181"/>
        <v>91.5</v>
      </c>
      <c r="C433" s="56">
        <f t="shared" si="182"/>
        <v>59292</v>
      </c>
      <c r="D433" s="57">
        <f ca="1">IF(AND(B432&lt;59.5,OR(B433&gt;59.5,B433=59.5)),(D432-E432+J432-K432)*(1+'Retirement Planning'!$J$23/12),(D432-E432)*(1+'Retirement Planning'!$J$23/12))</f>
        <v>1234642.186743753</v>
      </c>
      <c r="E433" s="58">
        <f t="shared" ca="1" si="171"/>
        <v>2348.7443921466074</v>
      </c>
      <c r="F433" s="57">
        <f ca="1">IF(AND(OR(B433&gt;59.5,B433=59.5),B432&lt;59.5),(F432-G432+L432-M432+N432-O432)*(1+'Retirement Planning'!$J$23/12),(F432-G432)*(1+'Retirement Planning'!$J$23/12))</f>
        <v>605127.33134045196</v>
      </c>
      <c r="G433" s="58">
        <f ca="1">IF(AND($B$10&lt;55,B433&lt;59.5),'Retirement Planning'!$J$25,IF(OR(B433&gt;59.5,B433=59.5),MAX(0,MIN(F433,IF(D433&lt;2500,((Y433+AJ433+AA433))-X433,((Y433+AJ433+AA433)*'Retirement Planning'!$J$44)-X433))),0))</f>
        <v>17329.118885367952</v>
      </c>
      <c r="H433" s="255">
        <f ca="1">IF(MONTH(C433)=1,IF(B433&gt;69.5,F433/(INDEX('Retirement Planning'!D$1:D$264,(160+INT(B433))))/12,0),IF(F433=0,0,H432))</f>
        <v>9952.5759676416674</v>
      </c>
      <c r="I433" s="262">
        <f t="shared" ca="1" si="172"/>
        <v>0</v>
      </c>
      <c r="J433" s="254">
        <f ca="1">IF(AND(B432&lt;59.5,OR(B433=59.5,B433&gt;59.5)),0,(J432-K432)*(1+'Retirement Planning'!$J$23/12))</f>
        <v>0</v>
      </c>
      <c r="K433" s="58">
        <f t="shared" ca="1" si="173"/>
        <v>0</v>
      </c>
      <c r="L433" s="57">
        <f>IF(AND(OR(B433&gt;59.5,B433=59.5),B432&lt;59.5),0,(L432-M432)*(1+'Retirement Planning'!$J$23/12))</f>
        <v>0</v>
      </c>
      <c r="M433" s="59">
        <f>IF(AND($B$10&lt;55,B433&lt;59.5),0,IF(B433&lt;59.5,MAX(0,MIN((($Y433+$AJ433+AA433)*'Retirement Planning'!$J$44)-$G433-$X433,L433)),0))</f>
        <v>0</v>
      </c>
      <c r="N433" s="57">
        <f ca="1">(N432-O432)*(1+'Retirement Planning'!$J$23/12)</f>
        <v>0</v>
      </c>
      <c r="O433" s="59">
        <f ca="1">IF(B433&gt;59.5,MAX(0,MIN((AA433+$Y433+$AJ433)*(IF(D433&lt;(MIN(E421:E432)+1),1,'Retirement Planning'!$J$44))-M433-$G433-$X433-(IF(D433&lt;(MIN(E421:E432)+1),D433,0)),N433)),0)</f>
        <v>0</v>
      </c>
      <c r="P433" s="57">
        <f t="shared" si="183"/>
        <v>0</v>
      </c>
      <c r="Q433" s="58">
        <f t="shared" si="184"/>
        <v>0</v>
      </c>
      <c r="R433" s="57">
        <f ca="1">(R432-S432-T432)*(1+'Retirement Planning'!$J$23/12)</f>
        <v>1858442.9055550811</v>
      </c>
      <c r="S433" s="58">
        <f t="shared" ca="1" si="185"/>
        <v>808.33333333333337</v>
      </c>
      <c r="T433" s="273">
        <f t="shared" ca="1" si="174"/>
        <v>-2.7284841053187847E-12</v>
      </c>
      <c r="U433" s="57">
        <f ca="1">(U432-V432)*(1+'Retirement Planning'!$J$23/12)</f>
        <v>1002497.2300549465</v>
      </c>
      <c r="V433" s="24">
        <f ca="1">IF(AND($B$10&lt;55,B433&lt;59.5),MIN(U433,MAX(0,(Y433+AA433+AJ433-G433)*'Retirement Planning'!$J$45)),IF(B433&lt;59.5,(MIN(U433,MAX(0,((Y433+AA433+AJ433)-G433-M433)*'Retirement Planning'!$J$45))),MIN(U433,MAX(0,(Y433+AA433+AJ433-G433-M433-K433-X433)*'Retirement Planning'!$J$45))))</f>
        <v>2000.7822599767385</v>
      </c>
      <c r="W433" s="7">
        <f t="shared" ca="1" si="175"/>
        <v>4700709.6536942329</v>
      </c>
      <c r="X433" s="7">
        <f>(IF(B433&gt;'Retirement Planning'!$J$34,IF('Retirement Planning'!$J$34=70,'Retirement Planning'!$J$37/12,IF('Retirement Planning'!$J$34=67,'Retirement Planning'!$J$36/12,'Retirement Planning'!$J$35/12)),0))*'Retirement Planning'!$J$38</f>
        <v>1213.6000000000001</v>
      </c>
      <c r="Y433" s="7">
        <f ca="1">'Retirement Planning'!$F$35*((1+'Retirement Planning'!$J$24)^(YEAR('Projected Retirement Drawdown'!C433)-YEAR(TODAY())))</f>
        <v>17306.428863856785</v>
      </c>
      <c r="Z433" s="7">
        <f ca="1">G433+M433+O433+0.85*X433+V433*'Retirement Planning'!$J$46+T433</f>
        <v>19461.109128355158</v>
      </c>
      <c r="AA433" s="7">
        <f ca="1">IF(MONTH(C433)=1,(((MIN(MAX(0,((SUM(Z421:Z432)-'Retirement Planning'!$I$53-'Retirement Planning'!$I$54)-'Retirement Planning'!$J$51)*'Retirement Planning'!$I$52))))+(MIN(MAX(0,((SUM(Z421:Z432)-'Retirement Planning'!$I$53-'Retirement Planning'!$I$54)-'Retirement Planning'!$J$50)*'Retirement Planning'!$I$51),('Retirement Planning'!$J$51-'Retirement Planning'!$J$50)*'Retirement Planning'!$I$51))+(MIN(MAX(0,((SUM(Z421:Z432)-'Retirement Planning'!$I$53-'Retirement Planning'!$I$54)-'Retirement Planning'!$J$49)*'Retirement Planning'!$I$50),('Retirement Planning'!$J$50-'Retirement Planning'!$J$49)*'Retirement Planning'!$I$50)+MIN(MAX(0,((SUM(Z421:Z432)-'Retirement Planning'!$I$53-'Retirement Planning'!$I$54)-'Retirement Planning'!$J$48)*'Retirement Planning'!$I$49),('Retirement Planning'!$J$49-'Retirement Planning'!$J$48)*'Retirement Planning'!$I$49)+MIN(((SUM(Z421:Z432)-'Retirement Planning'!$I$53-'Retirement Planning'!$I$54))*'Retirement Planning'!$I$48,('Retirement Planning'!$J$48)*'Retirement Planning'!$I$48))+(IF((SUM(Z421:Z432)-'Retirement Planning'!$I$54-'Retirement Planning'!$I$61)&gt;'Retirement Planning'!$J$59,(SUM(Z421:Z432)-'Retirement Planning'!$I$54-'Retirement Planning'!$I$61-'Retirement Planning'!$J$59)*'Retirement Planning'!$I$60+'Retirement Planning'!$K$59,IF((SUM(Z421:Z432)-'Retirement Planning'!$I$54-'Retirement Planning'!$I$61)&gt;'Retirement Planning'!$J$58,(SUM(Z421:Z432)-'Retirement Planning'!$I$54-'Retirement Planning'!$I$61-'Retirement Planning'!$J$58)*'Retirement Planning'!$I$59+'Retirement Planning'!$K$58,IF((SUM(Z421:Z432)-'Retirement Planning'!$I$54-'Retirement Planning'!$I$61)&gt;'Retirement Planning'!$J$57,(SUM(Z421:Z432)-'Retirement Planning'!$I$54-'Retirement Planning'!$I$61-'Retirement Planning'!$J$57)*'Retirement Planning'!$I$58+'Retirement Planning'!$K$57,IF((SUM(Z421:Z432)-'Retirement Planning'!$I$54-'Retirement Planning'!$I$61)&gt;'Retirement Planning'!$J$56,(SUM(Z421:Z432)-'Retirement Planning'!$I$54-'Retirement Planning'!$I$61-'Retirement Planning'!$J$56)*'Retirement Planning'!$I$57+'Retirement Planning'!$K$56,(SUM(Z421:Z432)-'Retirement Planning'!$I$54-'Retirement Planning'!$I$61)*'Retirement Planning'!$I$56))))))/12,AA432)</f>
        <v>5269.1500069678441</v>
      </c>
      <c r="AB433" s="104">
        <f t="shared" ca="1" si="193"/>
        <v>0.28127485209684872</v>
      </c>
      <c r="AC433" s="7">
        <f>IF(B433&lt;65,'Retirement Planning'!$J$28,0)</f>
        <v>0</v>
      </c>
      <c r="AD433" s="7">
        <f>IF(B433&lt;65,'Retirement Planning'!$J$29/12,0)</f>
        <v>0</v>
      </c>
      <c r="AE433" s="22">
        <f>'Retirement Planning'!$J$31/12</f>
        <v>58.333333333333336</v>
      </c>
      <c r="AF433" s="22">
        <f>'Retirement Planning'!$J$32/12</f>
        <v>66.666666666666671</v>
      </c>
      <c r="AG433" s="7">
        <f>IF($B433&gt;64.9,'Retirement Planning'!$J$39/12,0)</f>
        <v>183.33333333333334</v>
      </c>
      <c r="AH433" s="7">
        <f>IF($B433&gt;64.9,'Retirement Planning'!$J$40/12,0)</f>
        <v>258.33333333333331</v>
      </c>
      <c r="AI433" s="7">
        <f>IF($B433&gt;64.9,'Retirement Planning'!$J$41/12,0)</f>
        <v>558.33333333333337</v>
      </c>
      <c r="AJ433" s="7">
        <f t="shared" ca="1" si="176"/>
        <v>316.66666666666663</v>
      </c>
      <c r="AK433" s="3" t="str">
        <f t="shared" ca="1" si="190"/>
        <v>N/A</v>
      </c>
      <c r="AL433" s="6" t="str">
        <f t="shared" ca="1" si="191"/>
        <v>N/A</v>
      </c>
      <c r="AM433" s="7">
        <f t="shared" ca="1" si="177"/>
        <v>-6.8212102632969618E-13</v>
      </c>
      <c r="AN433" s="7">
        <f t="shared" ca="1" si="178"/>
        <v>23700.578870824629</v>
      </c>
      <c r="AO433" s="7">
        <f t="shared" si="179"/>
        <v>1125</v>
      </c>
    </row>
    <row r="434" spans="1:41" x14ac:dyDescent="0.2">
      <c r="A434">
        <f t="shared" si="180"/>
        <v>50</v>
      </c>
      <c r="B434" s="5">
        <f t="shared" si="181"/>
        <v>91.6</v>
      </c>
      <c r="C434" s="56">
        <f t="shared" si="182"/>
        <v>59323</v>
      </c>
      <c r="D434" s="57">
        <f ca="1">IF(AND(B433&lt;59.5,OR(B434&gt;59.5,B434=59.5)),(D433-E433+J433-K433)*(1+'Retirement Planning'!$J$23/12),(D433-E433)*(1+'Retirement Planning'!$J$23/12))</f>
        <v>1241022.1875682636</v>
      </c>
      <c r="E434" s="58">
        <f t="shared" ca="1" si="171"/>
        <v>2348.7443921466074</v>
      </c>
      <c r="F434" s="57">
        <f ca="1">IF(AND(OR(B434&gt;59.5,B434=59.5),B433&lt;59.5),(F433-G433+L433-M433+N433-O433)*(1+'Retirement Planning'!$J$23/12),(F433-G433)*(1+'Retirement Planning'!$J$23/12))</f>
        <v>591961.78312664083</v>
      </c>
      <c r="G434" s="58">
        <f ca="1">IF(AND($B$10&lt;55,B434&lt;59.5),'Retirement Planning'!$J$25,IF(OR(B434&gt;59.5,B434=59.5),MAX(0,MIN(F434,IF(D434&lt;2500,((Y434+AJ434+AA434))-X434,((Y434+AJ434+AA434)*'Retirement Planning'!$J$44)-X434))),0))</f>
        <v>17329.118885367952</v>
      </c>
      <c r="H434" s="255">
        <f ca="1">IF(MONTH(C434)=1,IF(B434&gt;69.5,F434/(INDEX('Retirement Planning'!D$1:D$264,(160+INT(B434))))/12,0),IF(F434=0,0,H433))</f>
        <v>9952.5759676416674</v>
      </c>
      <c r="I434" s="262">
        <f t="shared" ca="1" si="172"/>
        <v>0</v>
      </c>
      <c r="J434" s="254">
        <f ca="1">IF(AND(B433&lt;59.5,OR(B434=59.5,B434&gt;59.5)),0,(J433-K433)*(1+'Retirement Planning'!$J$23/12))</f>
        <v>0</v>
      </c>
      <c r="K434" s="58">
        <f t="shared" ca="1" si="173"/>
        <v>0</v>
      </c>
      <c r="L434" s="57">
        <f>IF(AND(OR(B434&gt;59.5,B434=59.5),B433&lt;59.5),0,(L433-M433)*(1+'Retirement Planning'!$J$23/12))</f>
        <v>0</v>
      </c>
      <c r="M434" s="59">
        <f>IF(AND($B$10&lt;55,B434&lt;59.5),0,IF(B434&lt;59.5,MAX(0,MIN((($Y434+$AJ434+AA434)*'Retirement Planning'!$J$44)-$G434-$X434,L434)),0))</f>
        <v>0</v>
      </c>
      <c r="N434" s="57">
        <f ca="1">(N433-O433)*(1+'Retirement Planning'!$J$23/12)</f>
        <v>0</v>
      </c>
      <c r="O434" s="59">
        <f ca="1">IF(B434&gt;59.5,MAX(0,MIN((AA434+$Y434+$AJ434)*(IF(D434&lt;(MIN(E422:E433)+1),1,'Retirement Planning'!$J$44))-M434-$G434-$X434-(IF(D434&lt;(MIN(E422:E433)+1),D434,0)),N434)),0)</f>
        <v>0</v>
      </c>
      <c r="P434" s="57">
        <f t="shared" si="183"/>
        <v>0</v>
      </c>
      <c r="Q434" s="58">
        <f t="shared" si="184"/>
        <v>0</v>
      </c>
      <c r="R434" s="57">
        <f ca="1">(R433-S433-T433)*(1+'Retirement Planning'!$J$23/12)</f>
        <v>1870792.8171083184</v>
      </c>
      <c r="S434" s="58">
        <f t="shared" ca="1" si="185"/>
        <v>808.33333333333337</v>
      </c>
      <c r="T434" s="273">
        <f t="shared" ca="1" si="174"/>
        <v>-2.7284841053187847E-12</v>
      </c>
      <c r="U434" s="57">
        <f ca="1">(U433-V433)*(1+'Retirement Planning'!$J$23/12)</f>
        <v>1007583.2976335175</v>
      </c>
      <c r="V434" s="24">
        <f ca="1">IF(AND($B$10&lt;55,B434&lt;59.5),MIN(U434,MAX(0,(Y434+AA434+AJ434-G434)*'Retirement Planning'!$J$45)),IF(B434&lt;59.5,(MIN(U434,MAX(0,((Y434+AA434+AJ434)-G434-M434)*'Retirement Planning'!$J$45))),MIN(U434,MAX(0,(Y434+AA434+AJ434-G434-M434-K434-X434)*'Retirement Planning'!$J$45))))</f>
        <v>2000.7822599767385</v>
      </c>
      <c r="W434" s="7">
        <f t="shared" ca="1" si="175"/>
        <v>4711360.0854367409</v>
      </c>
      <c r="X434" s="7">
        <f>(IF(B434&gt;'Retirement Planning'!$J$34,IF('Retirement Planning'!$J$34=70,'Retirement Planning'!$J$37/12,IF('Retirement Planning'!$J$34=67,'Retirement Planning'!$J$36/12,'Retirement Planning'!$J$35/12)),0))*'Retirement Planning'!$J$38</f>
        <v>1213.6000000000001</v>
      </c>
      <c r="Y434" s="7">
        <f ca="1">'Retirement Planning'!$F$35*((1+'Retirement Planning'!$J$24)^(YEAR('Projected Retirement Drawdown'!C434)-YEAR(TODAY())))</f>
        <v>17306.428863856785</v>
      </c>
      <c r="Z434" s="7">
        <f ca="1">G434+M434+O434+0.85*X434+V434*'Retirement Planning'!$J$46+T434</f>
        <v>19461.109128355158</v>
      </c>
      <c r="AA434" s="7">
        <f ca="1">IF(MONTH(C434)=1,(((MIN(MAX(0,((SUM(Z422:Z433)-'Retirement Planning'!$I$53-'Retirement Planning'!$I$54)-'Retirement Planning'!$J$51)*'Retirement Planning'!$I$52))))+(MIN(MAX(0,((SUM(Z422:Z433)-'Retirement Planning'!$I$53-'Retirement Planning'!$I$54)-'Retirement Planning'!$J$50)*'Retirement Planning'!$I$51),('Retirement Planning'!$J$51-'Retirement Planning'!$J$50)*'Retirement Planning'!$I$51))+(MIN(MAX(0,((SUM(Z422:Z433)-'Retirement Planning'!$I$53-'Retirement Planning'!$I$54)-'Retirement Planning'!$J$49)*'Retirement Planning'!$I$50),('Retirement Planning'!$J$50-'Retirement Planning'!$J$49)*'Retirement Planning'!$I$50)+MIN(MAX(0,((SUM(Z422:Z433)-'Retirement Planning'!$I$53-'Retirement Planning'!$I$54)-'Retirement Planning'!$J$48)*'Retirement Planning'!$I$49),('Retirement Planning'!$J$49-'Retirement Planning'!$J$48)*'Retirement Planning'!$I$49)+MIN(((SUM(Z422:Z433)-'Retirement Planning'!$I$53-'Retirement Planning'!$I$54))*'Retirement Planning'!$I$48,('Retirement Planning'!$J$48)*'Retirement Planning'!$I$48))+(IF((SUM(Z422:Z433)-'Retirement Planning'!$I$54-'Retirement Planning'!$I$61)&gt;'Retirement Planning'!$J$59,(SUM(Z422:Z433)-'Retirement Planning'!$I$54-'Retirement Planning'!$I$61-'Retirement Planning'!$J$59)*'Retirement Planning'!$I$60+'Retirement Planning'!$K$59,IF((SUM(Z422:Z433)-'Retirement Planning'!$I$54-'Retirement Planning'!$I$61)&gt;'Retirement Planning'!$J$58,(SUM(Z422:Z433)-'Retirement Planning'!$I$54-'Retirement Planning'!$I$61-'Retirement Planning'!$J$58)*'Retirement Planning'!$I$59+'Retirement Planning'!$K$58,IF((SUM(Z422:Z433)-'Retirement Planning'!$I$54-'Retirement Planning'!$I$61)&gt;'Retirement Planning'!$J$57,(SUM(Z422:Z433)-'Retirement Planning'!$I$54-'Retirement Planning'!$I$61-'Retirement Planning'!$J$57)*'Retirement Planning'!$I$58+'Retirement Planning'!$K$57,IF((SUM(Z422:Z433)-'Retirement Planning'!$I$54-'Retirement Planning'!$I$61)&gt;'Retirement Planning'!$J$56,(SUM(Z422:Z433)-'Retirement Planning'!$I$54-'Retirement Planning'!$I$61-'Retirement Planning'!$J$56)*'Retirement Planning'!$I$57+'Retirement Planning'!$K$56,(SUM(Z422:Z433)-'Retirement Planning'!$I$54-'Retirement Planning'!$I$61)*'Retirement Planning'!$I$56))))))/12,AA433)</f>
        <v>5269.1500069678441</v>
      </c>
      <c r="AB434" s="104">
        <f t="shared" ca="1" si="193"/>
        <v>0.28127485209684872</v>
      </c>
      <c r="AC434" s="7">
        <f>IF(B434&lt;65,'Retirement Planning'!$J$28,0)</f>
        <v>0</v>
      </c>
      <c r="AD434" s="7">
        <f>IF(B434&lt;65,'Retirement Planning'!$J$29/12,0)</f>
        <v>0</v>
      </c>
      <c r="AE434" s="22">
        <f>'Retirement Planning'!$J$31/12</f>
        <v>58.333333333333336</v>
      </c>
      <c r="AF434" s="22">
        <f>'Retirement Planning'!$J$32/12</f>
        <v>66.666666666666671</v>
      </c>
      <c r="AG434" s="7">
        <f>IF($B434&gt;64.9,'Retirement Planning'!$J$39/12,0)</f>
        <v>183.33333333333334</v>
      </c>
      <c r="AH434" s="7">
        <f>IF($B434&gt;64.9,'Retirement Planning'!$J$40/12,0)</f>
        <v>258.33333333333331</v>
      </c>
      <c r="AI434" s="7">
        <f>IF($B434&gt;64.9,'Retirement Planning'!$J$41/12,0)</f>
        <v>558.33333333333337</v>
      </c>
      <c r="AJ434" s="7">
        <f t="shared" ca="1" si="176"/>
        <v>316.66666666666663</v>
      </c>
      <c r="AK434" s="3" t="str">
        <f t="shared" ca="1" si="190"/>
        <v>N/A</v>
      </c>
      <c r="AL434" s="6" t="str">
        <f t="shared" ca="1" si="191"/>
        <v>N/A</v>
      </c>
      <c r="AM434" s="7">
        <f t="shared" ca="1" si="177"/>
        <v>-6.8212102632969618E-13</v>
      </c>
      <c r="AN434" s="7">
        <f t="shared" ca="1" si="178"/>
        <v>23700.578870824629</v>
      </c>
      <c r="AO434" s="7">
        <f t="shared" si="179"/>
        <v>1125</v>
      </c>
    </row>
    <row r="435" spans="1:41" x14ac:dyDescent="0.2">
      <c r="A435">
        <f t="shared" si="180"/>
        <v>50</v>
      </c>
      <c r="B435" s="5">
        <f t="shared" si="181"/>
        <v>91.7</v>
      </c>
      <c r="C435" s="56">
        <f t="shared" si="182"/>
        <v>59353</v>
      </c>
      <c r="D435" s="57">
        <f ca="1">IF(AND(B434&lt;59.5,OR(B435&gt;59.5,B435=59.5)),(D434-E434+J434-K434)*(1+'Retirement Planning'!$J$23/12),(D434-E434)*(1+'Retirement Planning'!$J$23/12))</f>
        <v>1247447.3800652812</v>
      </c>
      <c r="E435" s="58">
        <f t="shared" ca="1" si="171"/>
        <v>2348.7443921466074</v>
      </c>
      <c r="F435" s="57">
        <f ca="1">IF(AND(OR(B435&gt;59.5,B435=59.5),B434&lt;59.5),(F434-G434+L434-M434+N434-O434)*(1+'Retirement Planning'!$J$23/12),(F434-G434)*(1+'Retirement Planning'!$J$23/12))</f>
        <v>578702.97894631524</v>
      </c>
      <c r="G435" s="58">
        <f ca="1">IF(AND($B$10&lt;55,B435&lt;59.5),'Retirement Planning'!$J$25,IF(OR(B435&gt;59.5,B435=59.5),MAX(0,MIN(F435,IF(D435&lt;2500,((Y435+AJ435+AA435))-X435,((Y435+AJ435+AA435)*'Retirement Planning'!$J$44)-X435))),0))</f>
        <v>17329.118885367952</v>
      </c>
      <c r="H435" s="255">
        <f ca="1">IF(MONTH(C435)=1,IF(B435&gt;69.5,F435/(INDEX('Retirement Planning'!D$1:D$264,(160+INT(B435))))/12,0),IF(F435=0,0,H434))</f>
        <v>9952.5759676416674</v>
      </c>
      <c r="I435" s="262">
        <f t="shared" ca="1" si="172"/>
        <v>0</v>
      </c>
      <c r="J435" s="254">
        <f ca="1">IF(AND(B434&lt;59.5,OR(B435=59.5,B435&gt;59.5)),0,(J434-K434)*(1+'Retirement Planning'!$J$23/12))</f>
        <v>0</v>
      </c>
      <c r="K435" s="58">
        <f t="shared" ca="1" si="173"/>
        <v>0</v>
      </c>
      <c r="L435" s="57">
        <f>IF(AND(OR(B435&gt;59.5,B435=59.5),B434&lt;59.5),0,(L434-M434)*(1+'Retirement Planning'!$J$23/12))</f>
        <v>0</v>
      </c>
      <c r="M435" s="59">
        <f>IF(AND($B$10&lt;55,B435&lt;59.5),0,IF(B435&lt;59.5,MAX(0,MIN((($Y435+$AJ435+AA435)*'Retirement Planning'!$J$44)-$G435-$X435,L435)),0))</f>
        <v>0</v>
      </c>
      <c r="N435" s="57">
        <f ca="1">(N434-O434)*(1+'Retirement Planning'!$J$23/12)</f>
        <v>0</v>
      </c>
      <c r="O435" s="59">
        <f ca="1">IF(B435&gt;59.5,MAX(0,MIN((AA435+$Y435+$AJ435)*(IF(D435&lt;(MIN(E423:E434)+1),1,'Retirement Planning'!$J$44))-M435-$G435-$X435-(IF(D435&lt;(MIN(E423:E434)+1),D435,0)),N435)),0)</f>
        <v>0</v>
      </c>
      <c r="P435" s="57">
        <f t="shared" si="183"/>
        <v>0</v>
      </c>
      <c r="Q435" s="58">
        <f t="shared" si="184"/>
        <v>0</v>
      </c>
      <c r="R435" s="57">
        <f ca="1">(R434-S434-T434)*(1+'Retirement Planning'!$J$23/12)</f>
        <v>1883230.2072017246</v>
      </c>
      <c r="S435" s="58">
        <f t="shared" ca="1" si="185"/>
        <v>808.33333333333337</v>
      </c>
      <c r="T435" s="273">
        <f t="shared" ca="1" si="174"/>
        <v>-2.7284841053187847E-12</v>
      </c>
      <c r="U435" s="57">
        <f ca="1">(U434-V434)*(1+'Retirement Planning'!$J$23/12)</f>
        <v>1012705.3915241034</v>
      </c>
      <c r="V435" s="24">
        <f ca="1">IF(AND($B$10&lt;55,B435&lt;59.5),MIN(U435,MAX(0,(Y435+AA435+AJ435-G435)*'Retirement Planning'!$J$45)),IF(B435&lt;59.5,(MIN(U435,MAX(0,((Y435+AA435+AJ435)-G435-M435)*'Retirement Planning'!$J$45))),MIN(U435,MAX(0,(Y435+AA435+AJ435-G435-M435-K435-X435)*'Retirement Planning'!$J$45))))</f>
        <v>2000.7822599767385</v>
      </c>
      <c r="W435" s="7">
        <f t="shared" ca="1" si="175"/>
        <v>4722085.9577374244</v>
      </c>
      <c r="X435" s="7">
        <f>(IF(B435&gt;'Retirement Planning'!$J$34,IF('Retirement Planning'!$J$34=70,'Retirement Planning'!$J$37/12,IF('Retirement Planning'!$J$34=67,'Retirement Planning'!$J$36/12,'Retirement Planning'!$J$35/12)),0))*'Retirement Planning'!$J$38</f>
        <v>1213.6000000000001</v>
      </c>
      <c r="Y435" s="7">
        <f ca="1">'Retirement Planning'!$F$35*((1+'Retirement Planning'!$J$24)^(YEAR('Projected Retirement Drawdown'!C435)-YEAR(TODAY())))</f>
        <v>17306.428863856785</v>
      </c>
      <c r="Z435" s="7">
        <f ca="1">G435+M435+O435+0.85*X435+V435*'Retirement Planning'!$J$46+T435</f>
        <v>19461.109128355158</v>
      </c>
      <c r="AA435" s="7">
        <f ca="1">IF(MONTH(C435)=1,(((MIN(MAX(0,((SUM(Z423:Z434)-'Retirement Planning'!$I$53-'Retirement Planning'!$I$54)-'Retirement Planning'!$J$51)*'Retirement Planning'!$I$52))))+(MIN(MAX(0,((SUM(Z423:Z434)-'Retirement Planning'!$I$53-'Retirement Planning'!$I$54)-'Retirement Planning'!$J$50)*'Retirement Planning'!$I$51),('Retirement Planning'!$J$51-'Retirement Planning'!$J$50)*'Retirement Planning'!$I$51))+(MIN(MAX(0,((SUM(Z423:Z434)-'Retirement Planning'!$I$53-'Retirement Planning'!$I$54)-'Retirement Planning'!$J$49)*'Retirement Planning'!$I$50),('Retirement Planning'!$J$50-'Retirement Planning'!$J$49)*'Retirement Planning'!$I$50)+MIN(MAX(0,((SUM(Z423:Z434)-'Retirement Planning'!$I$53-'Retirement Planning'!$I$54)-'Retirement Planning'!$J$48)*'Retirement Planning'!$I$49),('Retirement Planning'!$J$49-'Retirement Planning'!$J$48)*'Retirement Planning'!$I$49)+MIN(((SUM(Z423:Z434)-'Retirement Planning'!$I$53-'Retirement Planning'!$I$54))*'Retirement Planning'!$I$48,('Retirement Planning'!$J$48)*'Retirement Planning'!$I$48))+(IF((SUM(Z423:Z434)-'Retirement Planning'!$I$54-'Retirement Planning'!$I$61)&gt;'Retirement Planning'!$J$59,(SUM(Z423:Z434)-'Retirement Planning'!$I$54-'Retirement Planning'!$I$61-'Retirement Planning'!$J$59)*'Retirement Planning'!$I$60+'Retirement Planning'!$K$59,IF((SUM(Z423:Z434)-'Retirement Planning'!$I$54-'Retirement Planning'!$I$61)&gt;'Retirement Planning'!$J$58,(SUM(Z423:Z434)-'Retirement Planning'!$I$54-'Retirement Planning'!$I$61-'Retirement Planning'!$J$58)*'Retirement Planning'!$I$59+'Retirement Planning'!$K$58,IF((SUM(Z423:Z434)-'Retirement Planning'!$I$54-'Retirement Planning'!$I$61)&gt;'Retirement Planning'!$J$57,(SUM(Z423:Z434)-'Retirement Planning'!$I$54-'Retirement Planning'!$I$61-'Retirement Planning'!$J$57)*'Retirement Planning'!$I$58+'Retirement Planning'!$K$57,IF((SUM(Z423:Z434)-'Retirement Planning'!$I$54-'Retirement Planning'!$I$61)&gt;'Retirement Planning'!$J$56,(SUM(Z423:Z434)-'Retirement Planning'!$I$54-'Retirement Planning'!$I$61-'Retirement Planning'!$J$56)*'Retirement Planning'!$I$57+'Retirement Planning'!$K$56,(SUM(Z423:Z434)-'Retirement Planning'!$I$54-'Retirement Planning'!$I$61)*'Retirement Planning'!$I$56))))))/12,AA434)</f>
        <v>5269.1500069678441</v>
      </c>
      <c r="AB435" s="104">
        <f t="shared" ca="1" si="193"/>
        <v>0.28127485209684872</v>
      </c>
      <c r="AC435" s="7">
        <f>IF(B435&lt;65,'Retirement Planning'!$J$28,0)</f>
        <v>0</v>
      </c>
      <c r="AD435" s="7">
        <f>IF(B435&lt;65,'Retirement Planning'!$J$29/12,0)</f>
        <v>0</v>
      </c>
      <c r="AE435" s="22">
        <f>'Retirement Planning'!$J$31/12</f>
        <v>58.333333333333336</v>
      </c>
      <c r="AF435" s="22">
        <f>'Retirement Planning'!$J$32/12</f>
        <v>66.666666666666671</v>
      </c>
      <c r="AG435" s="7">
        <f>IF($B435&gt;64.9,'Retirement Planning'!$J$39/12,0)</f>
        <v>183.33333333333334</v>
      </c>
      <c r="AH435" s="7">
        <f>IF($B435&gt;64.9,'Retirement Planning'!$J$40/12,0)</f>
        <v>258.33333333333331</v>
      </c>
      <c r="AI435" s="7">
        <f>IF($B435&gt;64.9,'Retirement Planning'!$J$41/12,0)</f>
        <v>558.33333333333337</v>
      </c>
      <c r="AJ435" s="7">
        <f t="shared" ca="1" si="176"/>
        <v>316.66666666666663</v>
      </c>
      <c r="AK435" s="3" t="str">
        <f t="shared" ca="1" si="190"/>
        <v>N/A</v>
      </c>
      <c r="AL435" s="6" t="str">
        <f t="shared" ca="1" si="191"/>
        <v>N/A</v>
      </c>
      <c r="AM435" s="7">
        <f t="shared" ca="1" si="177"/>
        <v>-6.8212102632969618E-13</v>
      </c>
      <c r="AN435" s="7">
        <f t="shared" ca="1" si="178"/>
        <v>23700.578870824629</v>
      </c>
      <c r="AO435" s="7">
        <f t="shared" si="179"/>
        <v>1125</v>
      </c>
    </row>
    <row r="436" spans="1:41" x14ac:dyDescent="0.2">
      <c r="A436">
        <f t="shared" si="180"/>
        <v>50</v>
      </c>
      <c r="B436" s="5">
        <f t="shared" si="181"/>
        <v>91.8</v>
      </c>
      <c r="C436" s="56">
        <f t="shared" si="182"/>
        <v>59384</v>
      </c>
      <c r="D436" s="57">
        <f ca="1">IF(AND(B435&lt;59.5,OR(B436&gt;59.5,B436=59.5)),(D435-E435+J435-K435)*(1+'Retirement Planning'!$J$23/12),(D435-E435)*(1+'Retirement Planning'!$J$23/12))</f>
        <v>1253918.084342486</v>
      </c>
      <c r="E436" s="58">
        <f t="shared" ca="1" si="171"/>
        <v>2348.7443921466074</v>
      </c>
      <c r="F436" s="57">
        <f ca="1">IF(AND(OR(B436&gt;59.5,B436=59.5),B435&lt;59.5),(F435-G435+L435-M435+N435-O435)*(1+'Retirement Planning'!$J$23/12),(F435-G435)*(1+'Retirement Planning'!$J$23/12))</f>
        <v>565350.25823637901</v>
      </c>
      <c r="G436" s="58">
        <f ca="1">IF(AND($B$10&lt;55,B436&lt;59.5),'Retirement Planning'!$J$25,IF(OR(B436&gt;59.5,B436=59.5),MAX(0,MIN(F436,IF(D436&lt;2500,((Y436+AJ436+AA436))-X436,((Y436+AJ436+AA436)*'Retirement Planning'!$J$44)-X436))),0))</f>
        <v>17329.118885367952</v>
      </c>
      <c r="H436" s="255">
        <f ca="1">IF(MONTH(C436)=1,IF(B436&gt;69.5,F436/(INDEX('Retirement Planning'!D$1:D$264,(160+INT(B436))))/12,0),IF(F436=0,0,H435))</f>
        <v>9952.5759676416674</v>
      </c>
      <c r="I436" s="262">
        <f t="shared" ca="1" si="172"/>
        <v>0</v>
      </c>
      <c r="J436" s="254">
        <f ca="1">IF(AND(B435&lt;59.5,OR(B436=59.5,B436&gt;59.5)),0,(J435-K435)*(1+'Retirement Planning'!$J$23/12))</f>
        <v>0</v>
      </c>
      <c r="K436" s="58">
        <f t="shared" ca="1" si="173"/>
        <v>0</v>
      </c>
      <c r="L436" s="57">
        <f>IF(AND(OR(B436&gt;59.5,B436=59.5),B435&lt;59.5),0,(L435-M435)*(1+'Retirement Planning'!$J$23/12))</f>
        <v>0</v>
      </c>
      <c r="M436" s="59">
        <f>IF(AND($B$10&lt;55,B436&lt;59.5),0,IF(B436&lt;59.5,MAX(0,MIN((($Y436+$AJ436+AA436)*'Retirement Planning'!$J$44)-$G436-$X436,L436)),0))</f>
        <v>0</v>
      </c>
      <c r="N436" s="57">
        <f ca="1">(N435-O435)*(1+'Retirement Planning'!$J$23/12)</f>
        <v>0</v>
      </c>
      <c r="O436" s="59">
        <f ca="1">IF(B436&gt;59.5,MAX(0,MIN((AA436+$Y436+$AJ436)*(IF(D436&lt;(MIN(E424:E435)+1),1,'Retirement Planning'!$J$44))-M436-$G436-$X436-(IF(D436&lt;(MIN(E424:E435)+1),D436,0)),N436)),0)</f>
        <v>0</v>
      </c>
      <c r="P436" s="57">
        <f t="shared" si="183"/>
        <v>0</v>
      </c>
      <c r="Q436" s="58">
        <f t="shared" si="184"/>
        <v>0</v>
      </c>
      <c r="R436" s="57">
        <f ca="1">(R435-S435-T435)*(1+'Retirement Planning'!$J$23/12)</f>
        <v>1895755.6954749592</v>
      </c>
      <c r="S436" s="58">
        <f t="shared" ca="1" si="185"/>
        <v>808.33333333333337</v>
      </c>
      <c r="T436" s="273">
        <f t="shared" ca="1" si="174"/>
        <v>-2.7284841053187847E-12</v>
      </c>
      <c r="U436" s="57">
        <f ca="1">(U435-V435)*(1+'Retirement Planning'!$J$23/12)</f>
        <v>1017863.7669130808</v>
      </c>
      <c r="V436" s="24">
        <f ca="1">IF(AND($B$10&lt;55,B436&lt;59.5),MIN(U436,MAX(0,(Y436+AA436+AJ436-G436)*'Retirement Planning'!$J$45)),IF(B436&lt;59.5,(MIN(U436,MAX(0,((Y436+AA436+AJ436)-G436-M436)*'Retirement Planning'!$J$45))),MIN(U436,MAX(0,(Y436+AA436+AJ436-G436-M436-K436-X436)*'Retirement Planning'!$J$45))))</f>
        <v>2000.7822599767385</v>
      </c>
      <c r="W436" s="7">
        <f t="shared" ca="1" si="175"/>
        <v>4732887.8049669052</v>
      </c>
      <c r="X436" s="7">
        <f>(IF(B436&gt;'Retirement Planning'!$J$34,IF('Retirement Planning'!$J$34=70,'Retirement Planning'!$J$37/12,IF('Retirement Planning'!$J$34=67,'Retirement Planning'!$J$36/12,'Retirement Planning'!$J$35/12)),0))*'Retirement Planning'!$J$38</f>
        <v>1213.6000000000001</v>
      </c>
      <c r="Y436" s="7">
        <f ca="1">'Retirement Planning'!$F$35*((1+'Retirement Planning'!$J$24)^(YEAR('Projected Retirement Drawdown'!C436)-YEAR(TODAY())))</f>
        <v>17306.428863856785</v>
      </c>
      <c r="Z436" s="7">
        <f ca="1">G436+M436+O436+0.85*X436+V436*'Retirement Planning'!$J$46+T436</f>
        <v>19461.109128355158</v>
      </c>
      <c r="AA436" s="7">
        <f ca="1">IF(MONTH(C436)=1,(((MIN(MAX(0,((SUM(Z424:Z435)-'Retirement Planning'!$I$53-'Retirement Planning'!$I$54)-'Retirement Planning'!$J$51)*'Retirement Planning'!$I$52))))+(MIN(MAX(0,((SUM(Z424:Z435)-'Retirement Planning'!$I$53-'Retirement Planning'!$I$54)-'Retirement Planning'!$J$50)*'Retirement Planning'!$I$51),('Retirement Planning'!$J$51-'Retirement Planning'!$J$50)*'Retirement Planning'!$I$51))+(MIN(MAX(0,((SUM(Z424:Z435)-'Retirement Planning'!$I$53-'Retirement Planning'!$I$54)-'Retirement Planning'!$J$49)*'Retirement Planning'!$I$50),('Retirement Planning'!$J$50-'Retirement Planning'!$J$49)*'Retirement Planning'!$I$50)+MIN(MAX(0,((SUM(Z424:Z435)-'Retirement Planning'!$I$53-'Retirement Planning'!$I$54)-'Retirement Planning'!$J$48)*'Retirement Planning'!$I$49),('Retirement Planning'!$J$49-'Retirement Planning'!$J$48)*'Retirement Planning'!$I$49)+MIN(((SUM(Z424:Z435)-'Retirement Planning'!$I$53-'Retirement Planning'!$I$54))*'Retirement Planning'!$I$48,('Retirement Planning'!$J$48)*'Retirement Planning'!$I$48))+(IF((SUM(Z424:Z435)-'Retirement Planning'!$I$54-'Retirement Planning'!$I$61)&gt;'Retirement Planning'!$J$59,(SUM(Z424:Z435)-'Retirement Planning'!$I$54-'Retirement Planning'!$I$61-'Retirement Planning'!$J$59)*'Retirement Planning'!$I$60+'Retirement Planning'!$K$59,IF((SUM(Z424:Z435)-'Retirement Planning'!$I$54-'Retirement Planning'!$I$61)&gt;'Retirement Planning'!$J$58,(SUM(Z424:Z435)-'Retirement Planning'!$I$54-'Retirement Planning'!$I$61-'Retirement Planning'!$J$58)*'Retirement Planning'!$I$59+'Retirement Planning'!$K$58,IF((SUM(Z424:Z435)-'Retirement Planning'!$I$54-'Retirement Planning'!$I$61)&gt;'Retirement Planning'!$J$57,(SUM(Z424:Z435)-'Retirement Planning'!$I$54-'Retirement Planning'!$I$61-'Retirement Planning'!$J$57)*'Retirement Planning'!$I$58+'Retirement Planning'!$K$57,IF((SUM(Z424:Z435)-'Retirement Planning'!$I$54-'Retirement Planning'!$I$61)&gt;'Retirement Planning'!$J$56,(SUM(Z424:Z435)-'Retirement Planning'!$I$54-'Retirement Planning'!$I$61-'Retirement Planning'!$J$56)*'Retirement Planning'!$I$57+'Retirement Planning'!$K$56,(SUM(Z424:Z435)-'Retirement Planning'!$I$54-'Retirement Planning'!$I$61)*'Retirement Planning'!$I$56))))))/12,AA435)</f>
        <v>5269.1500069678441</v>
      </c>
      <c r="AB436" s="104">
        <f t="shared" ca="1" si="193"/>
        <v>0.28127485209684872</v>
      </c>
      <c r="AC436" s="7">
        <f>IF(B436&lt;65,'Retirement Planning'!$J$28,0)</f>
        <v>0</v>
      </c>
      <c r="AD436" s="7">
        <f>IF(B436&lt;65,'Retirement Planning'!$J$29/12,0)</f>
        <v>0</v>
      </c>
      <c r="AE436" s="22">
        <f>'Retirement Planning'!$J$31/12</f>
        <v>58.333333333333336</v>
      </c>
      <c r="AF436" s="22">
        <f>'Retirement Planning'!$J$32/12</f>
        <v>66.666666666666671</v>
      </c>
      <c r="AG436" s="7">
        <f>IF($B436&gt;64.9,'Retirement Planning'!$J$39/12,0)</f>
        <v>183.33333333333334</v>
      </c>
      <c r="AH436" s="7">
        <f>IF($B436&gt;64.9,'Retirement Planning'!$J$40/12,0)</f>
        <v>258.33333333333331</v>
      </c>
      <c r="AI436" s="7">
        <f>IF($B436&gt;64.9,'Retirement Planning'!$J$41/12,0)</f>
        <v>558.33333333333337</v>
      </c>
      <c r="AJ436" s="7">
        <f t="shared" ca="1" si="176"/>
        <v>316.66666666666663</v>
      </c>
      <c r="AK436" s="3" t="str">
        <f t="shared" ca="1" si="190"/>
        <v>N/A</v>
      </c>
      <c r="AL436" s="6" t="str">
        <f t="shared" ca="1" si="191"/>
        <v>N/A</v>
      </c>
      <c r="AM436" s="7">
        <f t="shared" ca="1" si="177"/>
        <v>-6.8212102632969618E-13</v>
      </c>
      <c r="AN436" s="7">
        <f t="shared" ca="1" si="178"/>
        <v>23700.578870824629</v>
      </c>
      <c r="AO436" s="7">
        <f t="shared" si="179"/>
        <v>1125</v>
      </c>
    </row>
    <row r="437" spans="1:41" x14ac:dyDescent="0.2">
      <c r="A437">
        <f t="shared" si="180"/>
        <v>50</v>
      </c>
      <c r="B437" s="5">
        <f t="shared" si="181"/>
        <v>91.9</v>
      </c>
      <c r="C437" s="56">
        <f t="shared" si="182"/>
        <v>59415</v>
      </c>
      <c r="D437" s="57">
        <f ca="1">IF(AND(B436&lt;59.5,OR(B437&gt;59.5,B437=59.5)),(D436-E436+J436-K436)*(1+'Retirement Planning'!$J$23/12),(D436-E436)*(1+'Retirement Planning'!$J$23/12))</f>
        <v>1260434.6227749877</v>
      </c>
      <c r="E437" s="58">
        <f t="shared" ca="1" si="171"/>
        <v>2348.7443921466074</v>
      </c>
      <c r="F437" s="57">
        <f ca="1">IF(AND(OR(B437&gt;59.5,B437=59.5),B436&lt;59.5),(F436-G436+L436-M436+N436-O436)*(1+'Retirement Planning'!$J$23/12),(F436-G436)*(1+'Retirement Planning'!$J$23/12))</f>
        <v>551902.95575474738</v>
      </c>
      <c r="G437" s="58">
        <f ca="1">IF(AND($B$10&lt;55,B437&lt;59.5),'Retirement Planning'!$J$25,IF(OR(B437&gt;59.5,B437=59.5),MAX(0,MIN(F437,IF(D437&lt;2500,((Y437+AJ437+AA437))-X437,((Y437+AJ437+AA437)*'Retirement Planning'!$J$44)-X437))),0))</f>
        <v>17329.118885367952</v>
      </c>
      <c r="H437" s="255">
        <f ca="1">IF(MONTH(C437)=1,IF(B437&gt;69.5,F437/(INDEX('Retirement Planning'!D$1:D$264,(160+INT(B437))))/12,0),IF(F437=0,0,H436))</f>
        <v>9952.5759676416674</v>
      </c>
      <c r="I437" s="262">
        <f t="shared" ca="1" si="172"/>
        <v>0</v>
      </c>
      <c r="J437" s="254">
        <f ca="1">IF(AND(B436&lt;59.5,OR(B437=59.5,B437&gt;59.5)),0,(J436-K436)*(1+'Retirement Planning'!$J$23/12))</f>
        <v>0</v>
      </c>
      <c r="K437" s="58">
        <f t="shared" ca="1" si="173"/>
        <v>0</v>
      </c>
      <c r="L437" s="57">
        <f>IF(AND(OR(B437&gt;59.5,B437=59.5),B436&lt;59.5),0,(L436-M436)*(1+'Retirement Planning'!$J$23/12))</f>
        <v>0</v>
      </c>
      <c r="M437" s="59">
        <f>IF(AND($B$10&lt;55,B437&lt;59.5),0,IF(B437&lt;59.5,MAX(0,MIN((($Y437+$AJ437+AA437)*'Retirement Planning'!$J$44)-$G437-$X437,L437)),0))</f>
        <v>0</v>
      </c>
      <c r="N437" s="57">
        <f ca="1">(N436-O436)*(1+'Retirement Planning'!$J$23/12)</f>
        <v>0</v>
      </c>
      <c r="O437" s="59">
        <f ca="1">IF(B437&gt;59.5,MAX(0,MIN((AA437+$Y437+$AJ437)*(IF(D437&lt;(MIN(E425:E436)+1),1,'Retirement Planning'!$J$44))-M437-$G437-$X437-(IF(D437&lt;(MIN(E425:E436)+1),D437,0)),N437)),0)</f>
        <v>0</v>
      </c>
      <c r="P437" s="57">
        <f t="shared" si="183"/>
        <v>0</v>
      </c>
      <c r="Q437" s="58">
        <f t="shared" si="184"/>
        <v>0</v>
      </c>
      <c r="R437" s="57">
        <f ca="1">(R436-S436-T436)*(1+'Retirement Planning'!$J$23/12)</f>
        <v>1908369.9059567959</v>
      </c>
      <c r="S437" s="58">
        <f t="shared" ca="1" si="185"/>
        <v>808.33333333333337</v>
      </c>
      <c r="T437" s="273">
        <f t="shared" ca="1" si="174"/>
        <v>-2.7284841053187847E-12</v>
      </c>
      <c r="U437" s="57">
        <f ca="1">(U436-V436)*(1+'Retirement Planning'!$J$23/12)</f>
        <v>1023058.6807943969</v>
      </c>
      <c r="V437" s="24">
        <f ca="1">IF(AND($B$10&lt;55,B437&lt;59.5),MIN(U437,MAX(0,(Y437+AA437+AJ437-G437)*'Retirement Planning'!$J$45)),IF(B437&lt;59.5,(MIN(U437,MAX(0,((Y437+AA437+AJ437)-G437-M437)*'Retirement Planning'!$J$45))),MIN(U437,MAX(0,(Y437+AA437+AJ437-G437-M437-K437-X437)*'Retirement Planning'!$J$45))))</f>
        <v>2000.7822599767385</v>
      </c>
      <c r="W437" s="7">
        <f t="shared" ca="1" si="175"/>
        <v>4743766.1652809279</v>
      </c>
      <c r="X437" s="7">
        <f>(IF(B437&gt;'Retirement Planning'!$J$34,IF('Retirement Planning'!$J$34=70,'Retirement Planning'!$J$37/12,IF('Retirement Planning'!$J$34=67,'Retirement Planning'!$J$36/12,'Retirement Planning'!$J$35/12)),0))*'Retirement Planning'!$J$38</f>
        <v>1213.6000000000001</v>
      </c>
      <c r="Y437" s="7">
        <f ca="1">'Retirement Planning'!$F$35*((1+'Retirement Planning'!$J$24)^(YEAR('Projected Retirement Drawdown'!C437)-YEAR(TODAY())))</f>
        <v>17306.428863856785</v>
      </c>
      <c r="Z437" s="7">
        <f ca="1">G437+M437+O437+0.85*X437+V437*'Retirement Planning'!$J$46+T437</f>
        <v>19461.109128355158</v>
      </c>
      <c r="AA437" s="7">
        <f ca="1">IF(MONTH(C437)=1,(((MIN(MAX(0,((SUM(Z425:Z436)-'Retirement Planning'!$I$53-'Retirement Planning'!$I$54)-'Retirement Planning'!$J$51)*'Retirement Planning'!$I$52))))+(MIN(MAX(0,((SUM(Z425:Z436)-'Retirement Planning'!$I$53-'Retirement Planning'!$I$54)-'Retirement Planning'!$J$50)*'Retirement Planning'!$I$51),('Retirement Planning'!$J$51-'Retirement Planning'!$J$50)*'Retirement Planning'!$I$51))+(MIN(MAX(0,((SUM(Z425:Z436)-'Retirement Planning'!$I$53-'Retirement Planning'!$I$54)-'Retirement Planning'!$J$49)*'Retirement Planning'!$I$50),('Retirement Planning'!$J$50-'Retirement Planning'!$J$49)*'Retirement Planning'!$I$50)+MIN(MAX(0,((SUM(Z425:Z436)-'Retirement Planning'!$I$53-'Retirement Planning'!$I$54)-'Retirement Planning'!$J$48)*'Retirement Planning'!$I$49),('Retirement Planning'!$J$49-'Retirement Planning'!$J$48)*'Retirement Planning'!$I$49)+MIN(((SUM(Z425:Z436)-'Retirement Planning'!$I$53-'Retirement Planning'!$I$54))*'Retirement Planning'!$I$48,('Retirement Planning'!$J$48)*'Retirement Planning'!$I$48))+(IF((SUM(Z425:Z436)-'Retirement Planning'!$I$54-'Retirement Planning'!$I$61)&gt;'Retirement Planning'!$J$59,(SUM(Z425:Z436)-'Retirement Planning'!$I$54-'Retirement Planning'!$I$61-'Retirement Planning'!$J$59)*'Retirement Planning'!$I$60+'Retirement Planning'!$K$59,IF((SUM(Z425:Z436)-'Retirement Planning'!$I$54-'Retirement Planning'!$I$61)&gt;'Retirement Planning'!$J$58,(SUM(Z425:Z436)-'Retirement Planning'!$I$54-'Retirement Planning'!$I$61-'Retirement Planning'!$J$58)*'Retirement Planning'!$I$59+'Retirement Planning'!$K$58,IF((SUM(Z425:Z436)-'Retirement Planning'!$I$54-'Retirement Planning'!$I$61)&gt;'Retirement Planning'!$J$57,(SUM(Z425:Z436)-'Retirement Planning'!$I$54-'Retirement Planning'!$I$61-'Retirement Planning'!$J$57)*'Retirement Planning'!$I$58+'Retirement Planning'!$K$57,IF((SUM(Z425:Z436)-'Retirement Planning'!$I$54-'Retirement Planning'!$I$61)&gt;'Retirement Planning'!$J$56,(SUM(Z425:Z436)-'Retirement Planning'!$I$54-'Retirement Planning'!$I$61-'Retirement Planning'!$J$56)*'Retirement Planning'!$I$57+'Retirement Planning'!$K$56,(SUM(Z425:Z436)-'Retirement Planning'!$I$54-'Retirement Planning'!$I$61)*'Retirement Planning'!$I$56))))))/12,AA436)</f>
        <v>5269.1500069678441</v>
      </c>
      <c r="AB437" s="104">
        <f t="shared" ca="1" si="193"/>
        <v>0.28127485209684872</v>
      </c>
      <c r="AC437" s="7">
        <f>IF(B437&lt;65,'Retirement Planning'!$J$28,0)</f>
        <v>0</v>
      </c>
      <c r="AD437" s="7">
        <f>IF(B437&lt;65,'Retirement Planning'!$J$29/12,0)</f>
        <v>0</v>
      </c>
      <c r="AE437" s="22">
        <f>'Retirement Planning'!$J$31/12</f>
        <v>58.333333333333336</v>
      </c>
      <c r="AF437" s="22">
        <f>'Retirement Planning'!$J$32/12</f>
        <v>66.666666666666671</v>
      </c>
      <c r="AG437" s="7">
        <f>IF($B437&gt;64.9,'Retirement Planning'!$J$39/12,0)</f>
        <v>183.33333333333334</v>
      </c>
      <c r="AH437" s="7">
        <f>IF($B437&gt;64.9,'Retirement Planning'!$J$40/12,0)</f>
        <v>258.33333333333331</v>
      </c>
      <c r="AI437" s="7">
        <f>IF($B437&gt;64.9,'Retirement Planning'!$J$41/12,0)</f>
        <v>558.33333333333337</v>
      </c>
      <c r="AJ437" s="7">
        <f t="shared" ca="1" si="176"/>
        <v>316.66666666666663</v>
      </c>
      <c r="AK437" s="3" t="str">
        <f t="shared" ca="1" si="190"/>
        <v>N/A</v>
      </c>
      <c r="AL437" s="6" t="str">
        <f t="shared" ca="1" si="191"/>
        <v>N/A</v>
      </c>
      <c r="AM437" s="7">
        <f t="shared" ca="1" si="177"/>
        <v>-6.8212102632969618E-13</v>
      </c>
      <c r="AN437" s="7">
        <f t="shared" ca="1" si="178"/>
        <v>23700.578870824629</v>
      </c>
      <c r="AO437" s="7">
        <f t="shared" si="179"/>
        <v>1125</v>
      </c>
    </row>
    <row r="438" spans="1:41" x14ac:dyDescent="0.2">
      <c r="A438">
        <f t="shared" si="180"/>
        <v>50</v>
      </c>
      <c r="B438" s="5">
        <f t="shared" si="181"/>
        <v>92</v>
      </c>
      <c r="C438" s="56">
        <f t="shared" si="182"/>
        <v>59445</v>
      </c>
      <c r="D438" s="57">
        <f ca="1">IF(AND(B437&lt;59.5,OR(B438&gt;59.5,B438=59.5)),(D437-E437+J437-K437)*(1+'Retirement Planning'!$J$23/12),(D437-E437)*(1+'Retirement Planning'!$J$23/12))</f>
        <v>1266997.3200213863</v>
      </c>
      <c r="E438" s="58">
        <f t="shared" ca="1" si="171"/>
        <v>2348.7443921466074</v>
      </c>
      <c r="F438" s="57">
        <f ca="1">IF(AND(OR(B438&gt;59.5,B438=59.5),B437&lt;59.5),(F437-G437+L437-M437+N437-O437)*(1+'Retirement Planning'!$J$23/12),(F437-G437)*(1+'Retirement Planning'!$J$23/12))</f>
        <v>538360.40154720412</v>
      </c>
      <c r="G438" s="58">
        <f ca="1">IF(AND($B$10&lt;55,B438&lt;59.5),'Retirement Planning'!$J$25,IF(OR(B438&gt;59.5,B438=59.5),MAX(0,MIN(F438,IF(D438&lt;2500,((Y438+AJ438+AA438))-X438,((Y438+AJ438+AA438)*'Retirement Planning'!$J$44)-X438))),0))</f>
        <v>17329.118885367952</v>
      </c>
      <c r="H438" s="255">
        <f ca="1">IF(MONTH(C438)=1,IF(B438&gt;69.5,F438/(INDEX('Retirement Planning'!D$1:D$264,(160+INT(B438))))/12,0),IF(F438=0,0,H437))</f>
        <v>9952.5759676416674</v>
      </c>
      <c r="I438" s="262">
        <f t="shared" ca="1" si="172"/>
        <v>0</v>
      </c>
      <c r="J438" s="254">
        <f ca="1">IF(AND(B437&lt;59.5,OR(B438=59.5,B438&gt;59.5)),0,(J437-K437)*(1+'Retirement Planning'!$J$23/12))</f>
        <v>0</v>
      </c>
      <c r="K438" s="58">
        <f t="shared" ca="1" si="173"/>
        <v>0</v>
      </c>
      <c r="L438" s="57">
        <f>IF(AND(OR(B438&gt;59.5,B438=59.5),B437&lt;59.5),0,(L437-M437)*(1+'Retirement Planning'!$J$23/12))</f>
        <v>0</v>
      </c>
      <c r="M438" s="59">
        <f>IF(AND($B$10&lt;55,B438&lt;59.5),0,IF(B438&lt;59.5,MAX(0,MIN((($Y438+$AJ438+AA438)*'Retirement Planning'!$J$44)-$G438-$X438,L438)),0))</f>
        <v>0</v>
      </c>
      <c r="N438" s="57">
        <f ca="1">(N437-O437)*(1+'Retirement Planning'!$J$23/12)</f>
        <v>0</v>
      </c>
      <c r="O438" s="59">
        <f ca="1">IF(B438&gt;59.5,MAX(0,MIN((AA438+$Y438+$AJ438)*(IF(D438&lt;(MIN(E426:E437)+1),1,'Retirement Planning'!$J$44))-M438-$G438-$X438-(IF(D438&lt;(MIN(E426:E437)+1),D438,0)),N438)),0)</f>
        <v>0</v>
      </c>
      <c r="P438" s="57">
        <f t="shared" si="183"/>
        <v>0</v>
      </c>
      <c r="Q438" s="58">
        <f t="shared" si="184"/>
        <v>0</v>
      </c>
      <c r="R438" s="57">
        <f ca="1">(R437-S437-T437)*(1+'Retirement Planning'!$J$23/12)</f>
        <v>1921073.4670962121</v>
      </c>
      <c r="S438" s="58">
        <f t="shared" ca="1" si="185"/>
        <v>808.33333333333337</v>
      </c>
      <c r="T438" s="273">
        <f t="shared" ca="1" si="174"/>
        <v>-2.7284841053187847E-12</v>
      </c>
      <c r="U438" s="57">
        <f ca="1">(U437-V437)*(1+'Retirement Planning'!$J$23/12)</f>
        <v>1028290.3919823723</v>
      </c>
      <c r="V438" s="24">
        <f ca="1">IF(AND($B$10&lt;55,B438&lt;59.5),MIN(U438,MAX(0,(Y438+AA438+AJ438-G438)*'Retirement Planning'!$J$45)),IF(B438&lt;59.5,(MIN(U438,MAX(0,((Y438+AA438+AJ438)-G438-M438)*'Retirement Planning'!$J$45))),MIN(U438,MAX(0,(Y438+AA438+AJ438-G438-M438-K438-X438)*'Retirement Planning'!$J$45))))</f>
        <v>2000.7822599767385</v>
      </c>
      <c r="W438" s="7">
        <f t="shared" ca="1" si="175"/>
        <v>4754721.5806471743</v>
      </c>
      <c r="X438" s="7">
        <f>(IF(B438&gt;'Retirement Planning'!$J$34,IF('Retirement Planning'!$J$34=70,'Retirement Planning'!$J$37/12,IF('Retirement Planning'!$J$34=67,'Retirement Planning'!$J$36/12,'Retirement Planning'!$J$35/12)),0))*'Retirement Planning'!$J$38</f>
        <v>1213.6000000000001</v>
      </c>
      <c r="Y438" s="7">
        <f ca="1">'Retirement Planning'!$F$35*((1+'Retirement Planning'!$J$24)^(YEAR('Projected Retirement Drawdown'!C438)-YEAR(TODAY())))</f>
        <v>17306.428863856785</v>
      </c>
      <c r="Z438" s="7">
        <f ca="1">G438+M438+O438+0.85*X438+V438*'Retirement Planning'!$J$46+T438</f>
        <v>19461.109128355158</v>
      </c>
      <c r="AA438" s="7">
        <f ca="1">IF(MONTH(C438)=1,(((MIN(MAX(0,((SUM(Z426:Z437)-'Retirement Planning'!$I$53-'Retirement Planning'!$I$54)-'Retirement Planning'!$J$51)*'Retirement Planning'!$I$52))))+(MIN(MAX(0,((SUM(Z426:Z437)-'Retirement Planning'!$I$53-'Retirement Planning'!$I$54)-'Retirement Planning'!$J$50)*'Retirement Planning'!$I$51),('Retirement Planning'!$J$51-'Retirement Planning'!$J$50)*'Retirement Planning'!$I$51))+(MIN(MAX(0,((SUM(Z426:Z437)-'Retirement Planning'!$I$53-'Retirement Planning'!$I$54)-'Retirement Planning'!$J$49)*'Retirement Planning'!$I$50),('Retirement Planning'!$J$50-'Retirement Planning'!$J$49)*'Retirement Planning'!$I$50)+MIN(MAX(0,((SUM(Z426:Z437)-'Retirement Planning'!$I$53-'Retirement Planning'!$I$54)-'Retirement Planning'!$J$48)*'Retirement Planning'!$I$49),('Retirement Planning'!$J$49-'Retirement Planning'!$J$48)*'Retirement Planning'!$I$49)+MIN(((SUM(Z426:Z437)-'Retirement Planning'!$I$53-'Retirement Planning'!$I$54))*'Retirement Planning'!$I$48,('Retirement Planning'!$J$48)*'Retirement Planning'!$I$48))+(IF((SUM(Z426:Z437)-'Retirement Planning'!$I$54-'Retirement Planning'!$I$61)&gt;'Retirement Planning'!$J$59,(SUM(Z426:Z437)-'Retirement Planning'!$I$54-'Retirement Planning'!$I$61-'Retirement Planning'!$J$59)*'Retirement Planning'!$I$60+'Retirement Planning'!$K$59,IF((SUM(Z426:Z437)-'Retirement Planning'!$I$54-'Retirement Planning'!$I$61)&gt;'Retirement Planning'!$J$58,(SUM(Z426:Z437)-'Retirement Planning'!$I$54-'Retirement Planning'!$I$61-'Retirement Planning'!$J$58)*'Retirement Planning'!$I$59+'Retirement Planning'!$K$58,IF((SUM(Z426:Z437)-'Retirement Planning'!$I$54-'Retirement Planning'!$I$61)&gt;'Retirement Planning'!$J$57,(SUM(Z426:Z437)-'Retirement Planning'!$I$54-'Retirement Planning'!$I$61-'Retirement Planning'!$J$57)*'Retirement Planning'!$I$58+'Retirement Planning'!$K$57,IF((SUM(Z426:Z437)-'Retirement Planning'!$I$54-'Retirement Planning'!$I$61)&gt;'Retirement Planning'!$J$56,(SUM(Z426:Z437)-'Retirement Planning'!$I$54-'Retirement Planning'!$I$61-'Retirement Planning'!$J$56)*'Retirement Planning'!$I$57+'Retirement Planning'!$K$56,(SUM(Z426:Z437)-'Retirement Planning'!$I$54-'Retirement Planning'!$I$61)*'Retirement Planning'!$I$56))))))/12,AA437)</f>
        <v>5269.1500069678441</v>
      </c>
      <c r="AB438" s="104">
        <f t="shared" ca="1" si="193"/>
        <v>0.28127485209684872</v>
      </c>
      <c r="AC438" s="7">
        <f>IF(B438&lt;65,'Retirement Planning'!$J$28,0)</f>
        <v>0</v>
      </c>
      <c r="AD438" s="7">
        <f>IF(B438&lt;65,'Retirement Planning'!$J$29/12,0)</f>
        <v>0</v>
      </c>
      <c r="AE438" s="22">
        <f>'Retirement Planning'!$J$31/12</f>
        <v>58.333333333333336</v>
      </c>
      <c r="AF438" s="22">
        <f>'Retirement Planning'!$J$32/12</f>
        <v>66.666666666666671</v>
      </c>
      <c r="AG438" s="7">
        <f>IF($B438&gt;64.9,'Retirement Planning'!$J$39/12,0)</f>
        <v>183.33333333333334</v>
      </c>
      <c r="AH438" s="7">
        <f>IF($B438&gt;64.9,'Retirement Planning'!$J$40/12,0)</f>
        <v>258.33333333333331</v>
      </c>
      <c r="AI438" s="7">
        <f>IF($B438&gt;64.9,'Retirement Planning'!$J$41/12,0)</f>
        <v>558.33333333333337</v>
      </c>
      <c r="AJ438" s="7">
        <f t="shared" ca="1" si="176"/>
        <v>316.66666666666663</v>
      </c>
      <c r="AK438" s="3" t="str">
        <f t="shared" ca="1" si="190"/>
        <v>N/A</v>
      </c>
      <c r="AL438" s="6" t="str">
        <f t="shared" ca="1" si="191"/>
        <v>N/A</v>
      </c>
      <c r="AM438" s="7">
        <f t="shared" ca="1" si="177"/>
        <v>-6.8212102632969618E-13</v>
      </c>
      <c r="AN438" s="7">
        <f t="shared" ca="1" si="178"/>
        <v>23700.578870824629</v>
      </c>
      <c r="AO438" s="7">
        <f t="shared" si="179"/>
        <v>1125</v>
      </c>
    </row>
    <row r="439" spans="1:41" x14ac:dyDescent="0.2">
      <c r="A439">
        <f t="shared" si="180"/>
        <v>50</v>
      </c>
      <c r="B439" s="5">
        <f t="shared" si="181"/>
        <v>92</v>
      </c>
      <c r="C439" s="56">
        <f t="shared" si="182"/>
        <v>59476</v>
      </c>
      <c r="D439" s="57">
        <f ca="1">IF(AND(B438&lt;59.5,OR(B439&gt;59.5,B439=59.5)),(D438-E438+J438-K438)*(1+'Retirement Planning'!$J$23/12),(D438-E438)*(1+'Retirement Planning'!$J$23/12))</f>
        <v>1273606.5030399468</v>
      </c>
      <c r="E439" s="58">
        <f t="shared" ca="1" si="171"/>
        <v>2348.7443921466074</v>
      </c>
      <c r="F439" s="57">
        <f ca="1">IF(AND(OR(B439&gt;59.5,B439=59.5),B438&lt;59.5),(F438-G438+L438-M438+N438-O438)*(1+'Retirement Planning'!$J$23/12),(F438-G438)*(1+'Retirement Planning'!$J$23/12))</f>
        <v>524721.92091402423</v>
      </c>
      <c r="G439" s="58">
        <f ca="1">IF(AND($B$10&lt;55,B439&lt;59.5),'Retirement Planning'!$J$25,IF(OR(B439&gt;59.5,B439=59.5),MAX(0,MIN(F439,IF(D439&lt;2500,((Y439+AJ439+AA439))-X439,((Y439+AJ439+AA439)*'Retirement Planning'!$J$44)-X439))),0))</f>
        <v>17329.118885367952</v>
      </c>
      <c r="H439" s="255">
        <f ca="1">IF(MONTH(C439)=1,IF(B439&gt;69.5,F439/(INDEX('Retirement Planning'!D$1:D$264,(160+INT(B439))))/12,0),IF(F439=0,0,H438))</f>
        <v>9952.5759676416674</v>
      </c>
      <c r="I439" s="262">
        <f t="shared" ca="1" si="172"/>
        <v>0</v>
      </c>
      <c r="J439" s="254">
        <f ca="1">IF(AND(B438&lt;59.5,OR(B439=59.5,B439&gt;59.5)),0,(J438-K438)*(1+'Retirement Planning'!$J$23/12))</f>
        <v>0</v>
      </c>
      <c r="K439" s="58">
        <f t="shared" ca="1" si="173"/>
        <v>0</v>
      </c>
      <c r="L439" s="57">
        <f>IF(AND(OR(B439&gt;59.5,B439=59.5),B438&lt;59.5),0,(L438-M438)*(1+'Retirement Planning'!$J$23/12))</f>
        <v>0</v>
      </c>
      <c r="M439" s="59">
        <f>IF(AND($B$10&lt;55,B439&lt;59.5),0,IF(B439&lt;59.5,MAX(0,MIN((($Y439+$AJ439+AA439)*'Retirement Planning'!$J$44)-$G439-$X439,L439)),0))</f>
        <v>0</v>
      </c>
      <c r="N439" s="57">
        <f ca="1">(N438-O438)*(1+'Retirement Planning'!$J$23/12)</f>
        <v>0</v>
      </c>
      <c r="O439" s="59">
        <f ca="1">IF(B439&gt;59.5,MAX(0,MIN((AA439+$Y439+$AJ439)*(IF(D439&lt;(MIN(E427:E438)+1),1,'Retirement Planning'!$J$44))-M439-$G439-$X439-(IF(D439&lt;(MIN(E427:E438)+1),D439,0)),N439)),0)</f>
        <v>0</v>
      </c>
      <c r="P439" s="57">
        <f t="shared" si="183"/>
        <v>0</v>
      </c>
      <c r="Q439" s="58">
        <f t="shared" si="184"/>
        <v>0</v>
      </c>
      <c r="R439" s="57">
        <f ca="1">(R438-S438-T438)*(1+'Retirement Planning'!$J$23/12)</f>
        <v>1933867.0117936991</v>
      </c>
      <c r="S439" s="58">
        <f t="shared" ca="1" si="185"/>
        <v>808.33333333333337</v>
      </c>
      <c r="T439" s="273">
        <f t="shared" ca="1" si="174"/>
        <v>-2.7284841053187847E-12</v>
      </c>
      <c r="U439" s="57">
        <f ca="1">(U438-V438)*(1+'Retirement Planning'!$J$23/12)</f>
        <v>1033559.1611245958</v>
      </c>
      <c r="V439" s="24">
        <f ca="1">IF(AND($B$10&lt;55,B439&lt;59.5),MIN(U439,MAX(0,(Y439+AA439+AJ439-G439)*'Retirement Planning'!$J$45)),IF(B439&lt;59.5,(MIN(U439,MAX(0,((Y439+AA439+AJ439)-G439-M439)*'Retirement Planning'!$J$45))),MIN(U439,MAX(0,(Y439+AA439+AJ439-G439-M439-K439-X439)*'Retirement Planning'!$J$45))))</f>
        <v>2000.7822599767385</v>
      </c>
      <c r="W439" s="7">
        <f t="shared" ca="1" si="175"/>
        <v>4765754.5968722655</v>
      </c>
      <c r="X439" s="7">
        <f>(IF(B439&gt;'Retirement Planning'!$J$34,IF('Retirement Planning'!$J$34=70,'Retirement Planning'!$J$37/12,IF('Retirement Planning'!$J$34=67,'Retirement Planning'!$J$36/12,'Retirement Planning'!$J$35/12)),0))*'Retirement Planning'!$J$38</f>
        <v>1213.6000000000001</v>
      </c>
      <c r="Y439" s="7">
        <f ca="1">'Retirement Planning'!$F$35*((1+'Retirement Planning'!$J$24)^(YEAR('Projected Retirement Drawdown'!C439)-YEAR(TODAY())))</f>
        <v>17306.428863856785</v>
      </c>
      <c r="Z439" s="7">
        <f ca="1">G439+M439+O439+0.85*X439+V439*'Retirement Planning'!$J$46+T439</f>
        <v>19461.109128355158</v>
      </c>
      <c r="AA439" s="7">
        <f ca="1">IF(MONTH(C439)=1,(((MIN(MAX(0,((SUM(Z427:Z438)-'Retirement Planning'!$I$53-'Retirement Planning'!$I$54)-'Retirement Planning'!$J$51)*'Retirement Planning'!$I$52))))+(MIN(MAX(0,((SUM(Z427:Z438)-'Retirement Planning'!$I$53-'Retirement Planning'!$I$54)-'Retirement Planning'!$J$50)*'Retirement Planning'!$I$51),('Retirement Planning'!$J$51-'Retirement Planning'!$J$50)*'Retirement Planning'!$I$51))+(MIN(MAX(0,((SUM(Z427:Z438)-'Retirement Planning'!$I$53-'Retirement Planning'!$I$54)-'Retirement Planning'!$J$49)*'Retirement Planning'!$I$50),('Retirement Planning'!$J$50-'Retirement Planning'!$J$49)*'Retirement Planning'!$I$50)+MIN(MAX(0,((SUM(Z427:Z438)-'Retirement Planning'!$I$53-'Retirement Planning'!$I$54)-'Retirement Planning'!$J$48)*'Retirement Planning'!$I$49),('Retirement Planning'!$J$49-'Retirement Planning'!$J$48)*'Retirement Planning'!$I$49)+MIN(((SUM(Z427:Z438)-'Retirement Planning'!$I$53-'Retirement Planning'!$I$54))*'Retirement Planning'!$I$48,('Retirement Planning'!$J$48)*'Retirement Planning'!$I$48))+(IF((SUM(Z427:Z438)-'Retirement Planning'!$I$54-'Retirement Planning'!$I$61)&gt;'Retirement Planning'!$J$59,(SUM(Z427:Z438)-'Retirement Planning'!$I$54-'Retirement Planning'!$I$61-'Retirement Planning'!$J$59)*'Retirement Planning'!$I$60+'Retirement Planning'!$K$59,IF((SUM(Z427:Z438)-'Retirement Planning'!$I$54-'Retirement Planning'!$I$61)&gt;'Retirement Planning'!$J$58,(SUM(Z427:Z438)-'Retirement Planning'!$I$54-'Retirement Planning'!$I$61-'Retirement Planning'!$J$58)*'Retirement Planning'!$I$59+'Retirement Planning'!$K$58,IF((SUM(Z427:Z438)-'Retirement Planning'!$I$54-'Retirement Planning'!$I$61)&gt;'Retirement Planning'!$J$57,(SUM(Z427:Z438)-'Retirement Planning'!$I$54-'Retirement Planning'!$I$61-'Retirement Planning'!$J$57)*'Retirement Planning'!$I$58+'Retirement Planning'!$K$57,IF((SUM(Z427:Z438)-'Retirement Planning'!$I$54-'Retirement Planning'!$I$61)&gt;'Retirement Planning'!$J$56,(SUM(Z427:Z438)-'Retirement Planning'!$I$54-'Retirement Planning'!$I$61-'Retirement Planning'!$J$56)*'Retirement Planning'!$I$57+'Retirement Planning'!$K$56,(SUM(Z427:Z438)-'Retirement Planning'!$I$54-'Retirement Planning'!$I$61)*'Retirement Planning'!$I$56))))))/12,AA438)</f>
        <v>5269.1500069678441</v>
      </c>
      <c r="AB439" s="104">
        <f t="shared" ca="1" si="193"/>
        <v>0.28127485209684872</v>
      </c>
      <c r="AC439" s="7">
        <f>IF(B439&lt;65,'Retirement Planning'!$J$28,0)</f>
        <v>0</v>
      </c>
      <c r="AD439" s="7">
        <f>IF(B439&lt;65,'Retirement Planning'!$J$29/12,0)</f>
        <v>0</v>
      </c>
      <c r="AE439" s="22">
        <f>'Retirement Planning'!$J$31/12</f>
        <v>58.333333333333336</v>
      </c>
      <c r="AF439" s="22">
        <f>'Retirement Planning'!$J$32/12</f>
        <v>66.666666666666671</v>
      </c>
      <c r="AG439" s="7">
        <f>IF($B439&gt;64.9,'Retirement Planning'!$J$39/12,0)</f>
        <v>183.33333333333334</v>
      </c>
      <c r="AH439" s="7">
        <f>IF($B439&gt;64.9,'Retirement Planning'!$J$40/12,0)</f>
        <v>258.33333333333331</v>
      </c>
      <c r="AI439" s="7">
        <f>IF($B439&gt;64.9,'Retirement Planning'!$J$41/12,0)</f>
        <v>558.33333333333337</v>
      </c>
      <c r="AJ439" s="7">
        <f t="shared" ca="1" si="176"/>
        <v>316.66666666666663</v>
      </c>
      <c r="AK439" s="3" t="str">
        <f t="shared" ca="1" si="190"/>
        <v>N/A</v>
      </c>
      <c r="AL439" s="6" t="str">
        <f t="shared" ca="1" si="191"/>
        <v>N/A</v>
      </c>
      <c r="AM439" s="7">
        <f t="shared" ca="1" si="177"/>
        <v>-6.8212102632969618E-13</v>
      </c>
      <c r="AN439" s="7">
        <f t="shared" ca="1" si="178"/>
        <v>23700.578870824629</v>
      </c>
      <c r="AO439" s="7">
        <f t="shared" si="179"/>
        <v>1125</v>
      </c>
    </row>
    <row r="440" spans="1:41" x14ac:dyDescent="0.2">
      <c r="A440">
        <f t="shared" si="180"/>
        <v>50</v>
      </c>
      <c r="B440" s="5">
        <f t="shared" si="181"/>
        <v>92.1</v>
      </c>
      <c r="C440" s="56">
        <f t="shared" si="182"/>
        <v>59506</v>
      </c>
      <c r="D440" s="57">
        <f ca="1">IF(AND(B439&lt;59.5,OR(B440&gt;59.5,B440=59.5)),(D439-E439+J439-K439)*(1+'Retirement Planning'!$J$23/12),(D439-E439)*(1+'Retirement Planning'!$J$23/12))</f>
        <v>1280262.5011048887</v>
      </c>
      <c r="E440" s="58">
        <f t="shared" ca="1" si="171"/>
        <v>2348.7443921466074</v>
      </c>
      <c r="F440" s="57">
        <f ca="1">IF(AND(OR(B440&gt;59.5,B440=59.5),B439&lt;59.5),(F439-G439+L439-M439+N439-O439)*(1+'Retirement Planning'!$J$23/12),(F439-G439)*(1+'Retirement Planning'!$J$23/12))</f>
        <v>510986.8343763593</v>
      </c>
      <c r="G440" s="58">
        <f ca="1">IF(AND($B$10&lt;55,B440&lt;59.5),'Retirement Planning'!$J$25,IF(OR(B440&gt;59.5,B440=59.5),MAX(0,MIN(F440,IF(D440&lt;2500,((Y440+AJ440+AA440))-X440,((Y440+AJ440+AA440)*'Retirement Planning'!$J$44)-X440))),0))</f>
        <v>17329.118885367952</v>
      </c>
      <c r="H440" s="255">
        <f ca="1">IF(MONTH(C440)=1,IF(B440&gt;69.5,F440/(INDEX('Retirement Planning'!D$1:D$264,(160+INT(B440))))/12,0),IF(F440=0,0,H439))</f>
        <v>9952.5759676416674</v>
      </c>
      <c r="I440" s="262">
        <f t="shared" ca="1" si="172"/>
        <v>0</v>
      </c>
      <c r="J440" s="254">
        <f ca="1">IF(AND(B439&lt;59.5,OR(B440=59.5,B440&gt;59.5)),0,(J439-K439)*(1+'Retirement Planning'!$J$23/12))</f>
        <v>0</v>
      </c>
      <c r="K440" s="58">
        <f t="shared" ca="1" si="173"/>
        <v>0</v>
      </c>
      <c r="L440" s="57">
        <f>IF(AND(OR(B440&gt;59.5,B440=59.5),B439&lt;59.5),0,(L439-M439)*(1+'Retirement Planning'!$J$23/12))</f>
        <v>0</v>
      </c>
      <c r="M440" s="59">
        <f>IF(AND($B$10&lt;55,B440&lt;59.5),0,IF(B440&lt;59.5,MAX(0,MIN((($Y440+$AJ440+AA440)*'Retirement Planning'!$J$44)-$G440-$X440,L440)),0))</f>
        <v>0</v>
      </c>
      <c r="N440" s="57">
        <f ca="1">(N439-O439)*(1+'Retirement Planning'!$J$23/12)</f>
        <v>0</v>
      </c>
      <c r="O440" s="59">
        <f ca="1">IF(B440&gt;59.5,MAX(0,MIN((AA440+$Y440+$AJ440)*(IF(D440&lt;(MIN(E428:E439)+1),1,'Retirement Planning'!$J$44))-M440-$G440-$X440-(IF(D440&lt;(MIN(E428:E439)+1),D440,0)),N440)),0)</f>
        <v>0</v>
      </c>
      <c r="P440" s="57">
        <f t="shared" si="183"/>
        <v>0</v>
      </c>
      <c r="Q440" s="58">
        <f t="shared" si="184"/>
        <v>0</v>
      </c>
      <c r="R440" s="57">
        <f ca="1">(R439-S439-T439)*(1+'Retirement Planning'!$J$23/12)</f>
        <v>1946751.1774327934</v>
      </c>
      <c r="S440" s="58">
        <f t="shared" ca="1" si="185"/>
        <v>808.33333333333337</v>
      </c>
      <c r="T440" s="273">
        <f t="shared" ca="1" si="174"/>
        <v>-2.7284841053187847E-12</v>
      </c>
      <c r="U440" s="57">
        <f ca="1">(U439-V439)*(1+'Retirement Planning'!$J$23/12)</f>
        <v>1038865.2507149101</v>
      </c>
      <c r="V440" s="24">
        <f ca="1">IF(AND($B$10&lt;55,B440&lt;59.5),MIN(U440,MAX(0,(Y440+AA440+AJ440-G440)*'Retirement Planning'!$J$45)),IF(B440&lt;59.5,(MIN(U440,MAX(0,((Y440+AA440+AJ440)-G440-M440)*'Retirement Planning'!$J$45))),MIN(U440,MAX(0,(Y440+AA440+AJ440-G440-M440-K440-X440)*'Retirement Planning'!$J$45))))</f>
        <v>2000.7822599767385</v>
      </c>
      <c r="W440" s="7">
        <f t="shared" ca="1" si="175"/>
        <v>4776865.7636289513</v>
      </c>
      <c r="X440" s="7">
        <f>(IF(B440&gt;'Retirement Planning'!$J$34,IF('Retirement Planning'!$J$34=70,'Retirement Planning'!$J$37/12,IF('Retirement Planning'!$J$34=67,'Retirement Planning'!$J$36/12,'Retirement Planning'!$J$35/12)),0))*'Retirement Planning'!$J$38</f>
        <v>1213.6000000000001</v>
      </c>
      <c r="Y440" s="7">
        <f ca="1">'Retirement Planning'!$F$35*((1+'Retirement Planning'!$J$24)^(YEAR('Projected Retirement Drawdown'!C440)-YEAR(TODAY())))</f>
        <v>17306.428863856785</v>
      </c>
      <c r="Z440" s="7">
        <f ca="1">G440+M440+O440+0.85*X440+V440*'Retirement Planning'!$J$46+T440</f>
        <v>19461.109128355158</v>
      </c>
      <c r="AA440" s="7">
        <f ca="1">IF(MONTH(C440)=1,(((MIN(MAX(0,((SUM(Z428:Z439)-'Retirement Planning'!$I$53-'Retirement Planning'!$I$54)-'Retirement Planning'!$J$51)*'Retirement Planning'!$I$52))))+(MIN(MAX(0,((SUM(Z428:Z439)-'Retirement Planning'!$I$53-'Retirement Planning'!$I$54)-'Retirement Planning'!$J$50)*'Retirement Planning'!$I$51),('Retirement Planning'!$J$51-'Retirement Planning'!$J$50)*'Retirement Planning'!$I$51))+(MIN(MAX(0,((SUM(Z428:Z439)-'Retirement Planning'!$I$53-'Retirement Planning'!$I$54)-'Retirement Planning'!$J$49)*'Retirement Planning'!$I$50),('Retirement Planning'!$J$50-'Retirement Planning'!$J$49)*'Retirement Planning'!$I$50)+MIN(MAX(0,((SUM(Z428:Z439)-'Retirement Planning'!$I$53-'Retirement Planning'!$I$54)-'Retirement Planning'!$J$48)*'Retirement Planning'!$I$49),('Retirement Planning'!$J$49-'Retirement Planning'!$J$48)*'Retirement Planning'!$I$49)+MIN(((SUM(Z428:Z439)-'Retirement Planning'!$I$53-'Retirement Planning'!$I$54))*'Retirement Planning'!$I$48,('Retirement Planning'!$J$48)*'Retirement Planning'!$I$48))+(IF((SUM(Z428:Z439)-'Retirement Planning'!$I$54-'Retirement Planning'!$I$61)&gt;'Retirement Planning'!$J$59,(SUM(Z428:Z439)-'Retirement Planning'!$I$54-'Retirement Planning'!$I$61-'Retirement Planning'!$J$59)*'Retirement Planning'!$I$60+'Retirement Planning'!$K$59,IF((SUM(Z428:Z439)-'Retirement Planning'!$I$54-'Retirement Planning'!$I$61)&gt;'Retirement Planning'!$J$58,(SUM(Z428:Z439)-'Retirement Planning'!$I$54-'Retirement Planning'!$I$61-'Retirement Planning'!$J$58)*'Retirement Planning'!$I$59+'Retirement Planning'!$K$58,IF((SUM(Z428:Z439)-'Retirement Planning'!$I$54-'Retirement Planning'!$I$61)&gt;'Retirement Planning'!$J$57,(SUM(Z428:Z439)-'Retirement Planning'!$I$54-'Retirement Planning'!$I$61-'Retirement Planning'!$J$57)*'Retirement Planning'!$I$58+'Retirement Planning'!$K$57,IF((SUM(Z428:Z439)-'Retirement Planning'!$I$54-'Retirement Planning'!$I$61)&gt;'Retirement Planning'!$J$56,(SUM(Z428:Z439)-'Retirement Planning'!$I$54-'Retirement Planning'!$I$61-'Retirement Planning'!$J$56)*'Retirement Planning'!$I$57+'Retirement Planning'!$K$56,(SUM(Z428:Z439)-'Retirement Planning'!$I$54-'Retirement Planning'!$I$61)*'Retirement Planning'!$I$56))))))/12,AA439)</f>
        <v>5269.1500069678441</v>
      </c>
      <c r="AB440" s="104">
        <f t="shared" ca="1" si="193"/>
        <v>0.28127485209684872</v>
      </c>
      <c r="AC440" s="7">
        <f>IF(B440&lt;65,'Retirement Planning'!$J$28,0)</f>
        <v>0</v>
      </c>
      <c r="AD440" s="7">
        <f>IF(B440&lt;65,'Retirement Planning'!$J$29/12,0)</f>
        <v>0</v>
      </c>
      <c r="AE440" s="22">
        <f>'Retirement Planning'!$J$31/12</f>
        <v>58.333333333333336</v>
      </c>
      <c r="AF440" s="22">
        <f>'Retirement Planning'!$J$32/12</f>
        <v>66.666666666666671</v>
      </c>
      <c r="AG440" s="7">
        <f>IF($B440&gt;64.9,'Retirement Planning'!$J$39/12,0)</f>
        <v>183.33333333333334</v>
      </c>
      <c r="AH440" s="7">
        <f>IF($B440&gt;64.9,'Retirement Planning'!$J$40/12,0)</f>
        <v>258.33333333333331</v>
      </c>
      <c r="AI440" s="7">
        <f>IF($B440&gt;64.9,'Retirement Planning'!$J$41/12,0)</f>
        <v>558.33333333333337</v>
      </c>
      <c r="AJ440" s="7">
        <f t="shared" ca="1" si="176"/>
        <v>316.66666666666663</v>
      </c>
      <c r="AK440" s="3" t="str">
        <f t="shared" ca="1" si="190"/>
        <v>N/A</v>
      </c>
      <c r="AL440" s="6" t="str">
        <f t="shared" ca="1" si="191"/>
        <v>N/A</v>
      </c>
      <c r="AM440" s="7">
        <f t="shared" ca="1" si="177"/>
        <v>-6.8212102632969618E-13</v>
      </c>
      <c r="AN440" s="7">
        <f t="shared" ca="1" si="178"/>
        <v>23700.578870824629</v>
      </c>
      <c r="AO440" s="7">
        <f t="shared" si="179"/>
        <v>1125</v>
      </c>
    </row>
    <row r="441" spans="1:41" x14ac:dyDescent="0.2">
      <c r="A441">
        <f t="shared" si="180"/>
        <v>50</v>
      </c>
      <c r="B441" s="5">
        <f t="shared" si="181"/>
        <v>92.2</v>
      </c>
      <c r="C441" s="56">
        <f t="shared" si="182"/>
        <v>59537</v>
      </c>
      <c r="D441" s="57">
        <f ca="1">IF(AND(B440&lt;59.5,OR(B441&gt;59.5,B441=59.5)),(D440-E440+J440-K440)*(1+'Retirement Planning'!$J$23/12),(D440-E440)*(1+'Retirement Planning'!$J$23/12))</f>
        <v>1286965.6458227907</v>
      </c>
      <c r="E441" s="58">
        <f t="shared" ca="1" si="171"/>
        <v>2438.9317966139097</v>
      </c>
      <c r="F441" s="57">
        <f ca="1">IF(AND(OR(B441&gt;59.5,B441=59.5),B440&lt;59.5),(F440-G440+L440-M440+N440-O440)*(1+'Retirement Planning'!$J$23/12),(F440-G440)*(1+'Retirement Planning'!$J$23/12))</f>
        <v>497154.45764238591</v>
      </c>
      <c r="G441" s="58">
        <f ca="1">IF(AND($B$10&lt;55,B441&lt;59.5),'Retirement Planning'!$J$25,IF(OR(B441&gt;59.5,B441=59.5),MAX(0,MIN(F441,IF(D441&lt;2500,((Y441+AJ441+AA441))-X441,((Y441+AJ441+AA441)*'Retirement Planning'!$J$44)-X441))),0))</f>
        <v>18041.124710109802</v>
      </c>
      <c r="H441" s="255">
        <f ca="1">IF(MONTH(C441)=1,IF(B441&gt;69.5,F441/(INDEX('Retirement Planning'!D$1:D$264,(160+INT(B441))))/12,0),IF(F441=0,0,H440))</f>
        <v>7967.2188724741327</v>
      </c>
      <c r="I441" s="262">
        <f t="shared" ca="1" si="172"/>
        <v>0</v>
      </c>
      <c r="J441" s="254">
        <f ca="1">IF(AND(B440&lt;59.5,OR(B441=59.5,B441&gt;59.5)),0,(J440-K440)*(1+'Retirement Planning'!$J$23/12))</f>
        <v>0</v>
      </c>
      <c r="K441" s="58">
        <f t="shared" ca="1" si="173"/>
        <v>0</v>
      </c>
      <c r="L441" s="57">
        <f>IF(AND(OR(B441&gt;59.5,B441=59.5),B440&lt;59.5),0,(L440-M440)*(1+'Retirement Planning'!$J$23/12))</f>
        <v>0</v>
      </c>
      <c r="M441" s="59">
        <f>IF(AND($B$10&lt;55,B441&lt;59.5),0,IF(B441&lt;59.5,MAX(0,MIN((($Y441+$AJ441+AA441)*'Retirement Planning'!$J$44)-$G441-$X441,L441)),0))</f>
        <v>0</v>
      </c>
      <c r="N441" s="57">
        <f ca="1">(N440-O440)*(1+'Retirement Planning'!$J$23/12)</f>
        <v>0</v>
      </c>
      <c r="O441" s="59">
        <f ca="1">IF(B441&gt;59.5,MAX(0,MIN((AA441+$Y441+$AJ441)*(IF(D441&lt;(MIN(E429:E440)+1),1,'Retirement Planning'!$J$44))-M441-$G441-$X441-(IF(D441&lt;(MIN(E429:E440)+1),D441,0)),N441)),0)</f>
        <v>0</v>
      </c>
      <c r="P441" s="57">
        <f t="shared" si="183"/>
        <v>0</v>
      </c>
      <c r="Q441" s="58">
        <f t="shared" si="184"/>
        <v>0</v>
      </c>
      <c r="R441" s="57">
        <f ca="1">(R440-S440-T440)*(1+'Retirement Planning'!$J$23/12)</f>
        <v>1959726.6059118314</v>
      </c>
      <c r="S441" s="58">
        <f t="shared" ca="1" si="185"/>
        <v>808.33333333333337</v>
      </c>
      <c r="T441" s="273">
        <f t="shared" ca="1" si="174"/>
        <v>-3.4106051316484809E-12</v>
      </c>
      <c r="U441" s="57">
        <f ca="1">(U440-V440)*(1+'Retirement Planning'!$J$23/12)</f>
        <v>1044208.9251064891</v>
      </c>
      <c r="V441" s="24">
        <f ca="1">IF(AND($B$10&lt;55,B441&lt;59.5),MIN(U441,MAX(0,(Y441+AA441+AJ441-G441)*'Retirement Planning'!$J$45)),IF(B441&lt;59.5,(MIN(U441,MAX(0,((Y441+AA441+AJ441)-G441-M441)*'Retirement Planning'!$J$45))),MIN(U441,MAX(0,(Y441+AA441+AJ441-G441-M441-K441-X441)*'Retirement Planning'!$J$45))))</f>
        <v>2077.608567485921</v>
      </c>
      <c r="W441" s="7">
        <f t="shared" ca="1" si="175"/>
        <v>4788055.6344834976</v>
      </c>
      <c r="X441" s="7">
        <f>(IF(B441&gt;'Retirement Planning'!$J$34,IF('Retirement Planning'!$J$34=70,'Retirement Planning'!$J$37/12,IF('Retirement Planning'!$J$34=67,'Retirement Planning'!$J$36/12,'Retirement Planning'!$J$35/12)),0))*'Retirement Planning'!$J$38</f>
        <v>1213.6000000000001</v>
      </c>
      <c r="Y441" s="7">
        <f ca="1">'Retirement Planning'!$F$35*((1+'Retirement Planning'!$J$24)^(YEAR('Projected Retirement Drawdown'!C441)-YEAR(TODAY())))</f>
        <v>17912.153874091768</v>
      </c>
      <c r="Z441" s="7">
        <f ca="1">G441+M441+O441+0.85*X441+V441*'Retirement Planning'!$J$46+T441</f>
        <v>20215.369422227057</v>
      </c>
      <c r="AA441" s="7">
        <f ca="1">IF(MONTH(C441)=1,(((MIN(MAX(0,((SUM(Z429:Z440)-'Retirement Planning'!$I$53-'Retirement Planning'!$I$54)-'Retirement Planning'!$J$51)*'Retirement Planning'!$I$52))))+(MIN(MAX(0,((SUM(Z429:Z440)-'Retirement Planning'!$I$53-'Retirement Planning'!$I$54)-'Retirement Planning'!$J$50)*'Retirement Planning'!$I$51),('Retirement Planning'!$J$51-'Retirement Planning'!$J$50)*'Retirement Planning'!$I$51))+(MIN(MAX(0,((SUM(Z429:Z440)-'Retirement Planning'!$I$53-'Retirement Planning'!$I$54)-'Retirement Planning'!$J$49)*'Retirement Planning'!$I$50),('Retirement Planning'!$J$50-'Retirement Planning'!$J$49)*'Retirement Planning'!$I$50)+MIN(MAX(0,((SUM(Z429:Z440)-'Retirement Planning'!$I$53-'Retirement Planning'!$I$54)-'Retirement Planning'!$J$48)*'Retirement Planning'!$I$49),('Retirement Planning'!$J$49-'Retirement Planning'!$J$48)*'Retirement Planning'!$I$49)+MIN(((SUM(Z429:Z440)-'Retirement Planning'!$I$53-'Retirement Planning'!$I$54))*'Retirement Planning'!$I$48,('Retirement Planning'!$J$48)*'Retirement Planning'!$I$48))+(IF((SUM(Z429:Z440)-'Retirement Planning'!$I$54-'Retirement Planning'!$I$61)&gt;'Retirement Planning'!$J$59,(SUM(Z429:Z440)-'Retirement Planning'!$I$54-'Retirement Planning'!$I$61-'Retirement Planning'!$J$59)*'Retirement Planning'!$I$60+'Retirement Planning'!$K$59,IF((SUM(Z429:Z440)-'Retirement Planning'!$I$54-'Retirement Planning'!$I$61)&gt;'Retirement Planning'!$J$58,(SUM(Z429:Z440)-'Retirement Planning'!$I$54-'Retirement Planning'!$I$61-'Retirement Planning'!$J$58)*'Retirement Planning'!$I$59+'Retirement Planning'!$K$58,IF((SUM(Z429:Z440)-'Retirement Planning'!$I$54-'Retirement Planning'!$I$61)&gt;'Retirement Planning'!$J$57,(SUM(Z429:Z440)-'Retirement Planning'!$I$54-'Retirement Planning'!$I$61-'Retirement Planning'!$J$57)*'Retirement Planning'!$I$58+'Retirement Planning'!$K$57,IF((SUM(Z429:Z440)-'Retirement Planning'!$I$54-'Retirement Planning'!$I$61)&gt;'Retirement Planning'!$J$56,(SUM(Z429:Z440)-'Retirement Planning'!$I$54-'Retirement Planning'!$I$61-'Retirement Planning'!$J$56)*'Retirement Planning'!$I$57+'Retirement Planning'!$K$56,(SUM(Z429:Z440)-'Retirement Planning'!$I$54-'Retirement Planning'!$I$61)*'Retirement Planning'!$I$56))))))/12,AA440)</f>
        <v>5542.4445334511947</v>
      </c>
      <c r="AB441" s="104">
        <f t="shared" ref="AB441" ca="1" si="194">SUM(AA441:AA452)/SUM(Z429:Z440)</f>
        <v>0.28479592282722271</v>
      </c>
      <c r="AC441" s="7">
        <f>IF(B441&lt;65,'Retirement Planning'!$J$28,0)</f>
        <v>0</v>
      </c>
      <c r="AD441" s="7">
        <f>IF(B441&lt;65,'Retirement Planning'!$J$29/12,0)</f>
        <v>0</v>
      </c>
      <c r="AE441" s="22">
        <f>'Retirement Planning'!$J$31/12</f>
        <v>58.333333333333336</v>
      </c>
      <c r="AF441" s="22">
        <f>'Retirement Planning'!$J$32/12</f>
        <v>66.666666666666671</v>
      </c>
      <c r="AG441" s="7">
        <f>IF($B441&gt;64.9,'Retirement Planning'!$J$39/12,0)</f>
        <v>183.33333333333334</v>
      </c>
      <c r="AH441" s="7">
        <f>IF($B441&gt;64.9,'Retirement Planning'!$J$40/12,0)</f>
        <v>258.33333333333331</v>
      </c>
      <c r="AI441" s="7">
        <f>IF($B441&gt;64.9,'Retirement Planning'!$J$41/12,0)</f>
        <v>558.33333333333337</v>
      </c>
      <c r="AJ441" s="7">
        <f t="shared" ca="1" si="176"/>
        <v>316.66666666666663</v>
      </c>
      <c r="AK441" s="3" t="str">
        <f t="shared" ca="1" si="190"/>
        <v>N/A</v>
      </c>
      <c r="AL441" s="6" t="str">
        <f t="shared" ca="1" si="191"/>
        <v>N/A</v>
      </c>
      <c r="AM441" s="7">
        <f t="shared" ca="1" si="177"/>
        <v>-6.8212102632969618E-13</v>
      </c>
      <c r="AN441" s="7">
        <f t="shared" ca="1" si="178"/>
        <v>24579.598407542962</v>
      </c>
      <c r="AO441" s="7">
        <f t="shared" si="179"/>
        <v>1125</v>
      </c>
    </row>
    <row r="442" spans="1:41" x14ac:dyDescent="0.2">
      <c r="A442">
        <f t="shared" si="180"/>
        <v>50</v>
      </c>
      <c r="B442" s="5">
        <f t="shared" si="181"/>
        <v>92.3</v>
      </c>
      <c r="C442" s="56">
        <f t="shared" si="182"/>
        <v>59568</v>
      </c>
      <c r="D442" s="57">
        <f ca="1">IF(AND(B441&lt;59.5,OR(B442&gt;59.5,B442=59.5)),(D441-E441+J441-K441)*(1+'Retirement Planning'!$J$23/12),(D441-E441)*(1+'Retirement Planning'!$J$23/12))</f>
        <v>1293625.4449171955</v>
      </c>
      <c r="E442" s="58">
        <f t="shared" ca="1" si="171"/>
        <v>2438.9317966139097</v>
      </c>
      <c r="F442" s="57">
        <f ca="1">IF(AND(OR(B442&gt;59.5,B442=59.5),B441&lt;59.5),(F441-G441+L441-M441+N441-O441)*(1+'Retirement Planning'!$J$23/12),(F441-G441)*(1+'Retirement Planning'!$J$23/12))</f>
        <v>482507.05237387976</v>
      </c>
      <c r="G442" s="58">
        <f ca="1">IF(AND($B$10&lt;55,B442&lt;59.5),'Retirement Planning'!$J$25,IF(OR(B442&gt;59.5,B442=59.5),MAX(0,MIN(F442,IF(D442&lt;2500,((Y442+AJ442+AA442))-X442,((Y442+AJ442+AA442)*'Retirement Planning'!$J$44)-X442))),0))</f>
        <v>18041.124710109802</v>
      </c>
      <c r="H442" s="255">
        <f ca="1">IF(MONTH(C442)=1,IF(B442&gt;69.5,F442/(INDEX('Retirement Planning'!D$1:D$264,(160+INT(B442))))/12,0),IF(F442=0,0,H441))</f>
        <v>7967.2188724741327</v>
      </c>
      <c r="I442" s="262">
        <f t="shared" ca="1" si="172"/>
        <v>0</v>
      </c>
      <c r="J442" s="254">
        <f ca="1">IF(AND(B441&lt;59.5,OR(B442=59.5,B442&gt;59.5)),0,(J441-K441)*(1+'Retirement Planning'!$J$23/12))</f>
        <v>0</v>
      </c>
      <c r="K442" s="58">
        <f t="shared" ca="1" si="173"/>
        <v>0</v>
      </c>
      <c r="L442" s="57">
        <f>IF(AND(OR(B442&gt;59.5,B442=59.5),B441&lt;59.5),0,(L441-M441)*(1+'Retirement Planning'!$J$23/12))</f>
        <v>0</v>
      </c>
      <c r="M442" s="59">
        <f>IF(AND($B$10&lt;55,B442&lt;59.5),0,IF(B442&lt;59.5,MAX(0,MIN((($Y442+$AJ442+AA442)*'Retirement Planning'!$J$44)-$G442-$X442,L442)),0))</f>
        <v>0</v>
      </c>
      <c r="N442" s="57">
        <f ca="1">(N441-O441)*(1+'Retirement Planning'!$J$23/12)</f>
        <v>0</v>
      </c>
      <c r="O442" s="59">
        <f ca="1">IF(B442&gt;59.5,MAX(0,MIN((AA442+$Y442+$AJ442)*(IF(D442&lt;(MIN(E430:E441)+1),1,'Retirement Planning'!$J$44))-M442-$G442-$X442-(IF(D442&lt;(MIN(E430:E441)+1),D442,0)),N442)),0)</f>
        <v>0</v>
      </c>
      <c r="P442" s="57">
        <f t="shared" si="183"/>
        <v>0</v>
      </c>
      <c r="Q442" s="58">
        <f t="shared" si="184"/>
        <v>0</v>
      </c>
      <c r="R442" s="57">
        <f ca="1">(R441-S441-T441)*(1+'Retirement Planning'!$J$23/12)</f>
        <v>1972793.9436759292</v>
      </c>
      <c r="S442" s="58">
        <f t="shared" ca="1" si="185"/>
        <v>808.33333333333337</v>
      </c>
      <c r="T442" s="273">
        <f t="shared" ca="1" si="174"/>
        <v>-3.4106051316484809E-12</v>
      </c>
      <c r="U442" s="57">
        <f ca="1">(U441-V441)*(1+'Retirement Planning'!$J$23/12)</f>
        <v>1049513.0800311544</v>
      </c>
      <c r="V442" s="24">
        <f ca="1">IF(AND($B$10&lt;55,B442&lt;59.5),MIN(U442,MAX(0,(Y442+AA442+AJ442-G442)*'Retirement Planning'!$J$45)),IF(B442&lt;59.5,(MIN(U442,MAX(0,((Y442+AA442+AJ442)-G442-M442)*'Retirement Planning'!$J$45))),MIN(U442,MAX(0,(Y442+AA442+AJ442-G442-M442-K442-X442)*'Retirement Planning'!$J$45))))</f>
        <v>2077.608567485921</v>
      </c>
      <c r="W442" s="7">
        <f t="shared" ca="1" si="175"/>
        <v>4798439.5209981594</v>
      </c>
      <c r="X442" s="7">
        <f>(IF(B442&gt;'Retirement Planning'!$J$34,IF('Retirement Planning'!$J$34=70,'Retirement Planning'!$J$37/12,IF('Retirement Planning'!$J$34=67,'Retirement Planning'!$J$36/12,'Retirement Planning'!$J$35/12)),0))*'Retirement Planning'!$J$38</f>
        <v>1213.6000000000001</v>
      </c>
      <c r="Y442" s="7">
        <f ca="1">'Retirement Planning'!$F$35*((1+'Retirement Planning'!$J$24)^(YEAR('Projected Retirement Drawdown'!C442)-YEAR(TODAY())))</f>
        <v>17912.153874091768</v>
      </c>
      <c r="Z442" s="7">
        <f ca="1">G442+M442+O442+0.85*X442+V442*'Retirement Planning'!$J$46+T442</f>
        <v>20215.369422227057</v>
      </c>
      <c r="AA442" s="7">
        <f ca="1">IF(MONTH(C442)=1,(((MIN(MAX(0,((SUM(Z430:Z441)-'Retirement Planning'!$I$53-'Retirement Planning'!$I$54)-'Retirement Planning'!$J$51)*'Retirement Planning'!$I$52))))+(MIN(MAX(0,((SUM(Z430:Z441)-'Retirement Planning'!$I$53-'Retirement Planning'!$I$54)-'Retirement Planning'!$J$50)*'Retirement Planning'!$I$51),('Retirement Planning'!$J$51-'Retirement Planning'!$J$50)*'Retirement Planning'!$I$51))+(MIN(MAX(0,((SUM(Z430:Z441)-'Retirement Planning'!$I$53-'Retirement Planning'!$I$54)-'Retirement Planning'!$J$49)*'Retirement Planning'!$I$50),('Retirement Planning'!$J$50-'Retirement Planning'!$J$49)*'Retirement Planning'!$I$50)+MIN(MAX(0,((SUM(Z430:Z441)-'Retirement Planning'!$I$53-'Retirement Planning'!$I$54)-'Retirement Planning'!$J$48)*'Retirement Planning'!$I$49),('Retirement Planning'!$J$49-'Retirement Planning'!$J$48)*'Retirement Planning'!$I$49)+MIN(((SUM(Z430:Z441)-'Retirement Planning'!$I$53-'Retirement Planning'!$I$54))*'Retirement Planning'!$I$48,('Retirement Planning'!$J$48)*'Retirement Planning'!$I$48))+(IF((SUM(Z430:Z441)-'Retirement Planning'!$I$54-'Retirement Planning'!$I$61)&gt;'Retirement Planning'!$J$59,(SUM(Z430:Z441)-'Retirement Planning'!$I$54-'Retirement Planning'!$I$61-'Retirement Planning'!$J$59)*'Retirement Planning'!$I$60+'Retirement Planning'!$K$59,IF((SUM(Z430:Z441)-'Retirement Planning'!$I$54-'Retirement Planning'!$I$61)&gt;'Retirement Planning'!$J$58,(SUM(Z430:Z441)-'Retirement Planning'!$I$54-'Retirement Planning'!$I$61-'Retirement Planning'!$J$58)*'Retirement Planning'!$I$59+'Retirement Planning'!$K$58,IF((SUM(Z430:Z441)-'Retirement Planning'!$I$54-'Retirement Planning'!$I$61)&gt;'Retirement Planning'!$J$57,(SUM(Z430:Z441)-'Retirement Planning'!$I$54-'Retirement Planning'!$I$61-'Retirement Planning'!$J$57)*'Retirement Planning'!$I$58+'Retirement Planning'!$K$57,IF((SUM(Z430:Z441)-'Retirement Planning'!$I$54-'Retirement Planning'!$I$61)&gt;'Retirement Planning'!$J$56,(SUM(Z430:Z441)-'Retirement Planning'!$I$54-'Retirement Planning'!$I$61-'Retirement Planning'!$J$56)*'Retirement Planning'!$I$57+'Retirement Planning'!$K$56,(SUM(Z430:Z441)-'Retirement Planning'!$I$54-'Retirement Planning'!$I$61)*'Retirement Planning'!$I$56))))))/12,AA441)</f>
        <v>5542.4445334511947</v>
      </c>
      <c r="AB442" s="104">
        <f t="shared" ref="AB442:AB473" ca="1" si="195">AB441</f>
        <v>0.28479592282722271</v>
      </c>
      <c r="AC442" s="7">
        <f>IF(B442&lt;65,'Retirement Planning'!$J$28,0)</f>
        <v>0</v>
      </c>
      <c r="AD442" s="7">
        <f>IF(B442&lt;65,'Retirement Planning'!$J$29/12,0)</f>
        <v>0</v>
      </c>
      <c r="AE442" s="22">
        <f>'Retirement Planning'!$J$31/12</f>
        <v>58.333333333333336</v>
      </c>
      <c r="AF442" s="22">
        <f>'Retirement Planning'!$J$32/12</f>
        <v>66.666666666666671</v>
      </c>
      <c r="AG442" s="7">
        <f>IF($B442&gt;64.9,'Retirement Planning'!$J$39/12,0)</f>
        <v>183.33333333333334</v>
      </c>
      <c r="AH442" s="7">
        <f>IF($B442&gt;64.9,'Retirement Planning'!$J$40/12,0)</f>
        <v>258.33333333333331</v>
      </c>
      <c r="AI442" s="7">
        <f>IF($B442&gt;64.9,'Retirement Planning'!$J$41/12,0)</f>
        <v>558.33333333333337</v>
      </c>
      <c r="AJ442" s="7">
        <f t="shared" ca="1" si="176"/>
        <v>316.66666666666663</v>
      </c>
      <c r="AK442" s="3" t="str">
        <f t="shared" ca="1" si="190"/>
        <v>N/A</v>
      </c>
      <c r="AL442" s="6" t="str">
        <f t="shared" ca="1" si="191"/>
        <v>N/A</v>
      </c>
      <c r="AM442" s="7">
        <f t="shared" ca="1" si="177"/>
        <v>-6.8212102632969618E-13</v>
      </c>
      <c r="AN442" s="7">
        <f t="shared" ca="1" si="178"/>
        <v>24579.598407542962</v>
      </c>
      <c r="AO442" s="7">
        <f t="shared" si="179"/>
        <v>1125</v>
      </c>
    </row>
    <row r="443" spans="1:41" x14ac:dyDescent="0.2">
      <c r="A443">
        <f t="shared" si="180"/>
        <v>50</v>
      </c>
      <c r="B443" s="5">
        <f t="shared" si="181"/>
        <v>92.4</v>
      </c>
      <c r="C443" s="56">
        <f t="shared" si="182"/>
        <v>59596</v>
      </c>
      <c r="D443" s="57">
        <f ca="1">IF(AND(B442&lt;59.5,OR(B443&gt;59.5,B443=59.5)),(D442-E442+J442-K442)*(1+'Retirement Planning'!$J$23/12),(D442-E442)*(1+'Retirement Planning'!$J$23/12))</f>
        <v>1300332.4175885192</v>
      </c>
      <c r="E443" s="58">
        <f t="shared" ca="1" si="171"/>
        <v>2438.9317966139097</v>
      </c>
      <c r="F443" s="57">
        <f ca="1">IF(AND(OR(B443&gt;59.5,B443=59.5),B442&lt;59.5),(F442-G442+L442-M442+N442-O442)*(1+'Retirement Planning'!$J$23/12),(F442-G442)*(1+'Retirement Planning'!$J$23/12))</f>
        <v>467755.89465138834</v>
      </c>
      <c r="G443" s="58">
        <f ca="1">IF(AND($B$10&lt;55,B443&lt;59.5),'Retirement Planning'!$J$25,IF(OR(B443&gt;59.5,B443=59.5),MAX(0,MIN(F443,IF(D443&lt;2500,((Y443+AJ443+AA443))-X443,((Y443+AJ443+AA443)*'Retirement Planning'!$J$44)-X443))),0))</f>
        <v>18041.124710109802</v>
      </c>
      <c r="H443" s="255">
        <f ca="1">IF(MONTH(C443)=1,IF(B443&gt;69.5,F443/(INDEX('Retirement Planning'!D$1:D$264,(160+INT(B443))))/12,0),IF(F443=0,0,H442))</f>
        <v>7967.2188724741327</v>
      </c>
      <c r="I443" s="262">
        <f t="shared" ca="1" si="172"/>
        <v>0</v>
      </c>
      <c r="J443" s="254">
        <f ca="1">IF(AND(B442&lt;59.5,OR(B443=59.5,B443&gt;59.5)),0,(J442-K442)*(1+'Retirement Planning'!$J$23/12))</f>
        <v>0</v>
      </c>
      <c r="K443" s="58">
        <f t="shared" ca="1" si="173"/>
        <v>0</v>
      </c>
      <c r="L443" s="57">
        <f>IF(AND(OR(B443&gt;59.5,B443=59.5),B442&lt;59.5),0,(L442-M442)*(1+'Retirement Planning'!$J$23/12))</f>
        <v>0</v>
      </c>
      <c r="M443" s="59">
        <f>IF(AND($B$10&lt;55,B443&lt;59.5),0,IF(B443&lt;59.5,MAX(0,MIN((($Y443+$AJ443+AA443)*'Retirement Planning'!$J$44)-$G443-$X443,L443)),0))</f>
        <v>0</v>
      </c>
      <c r="N443" s="57">
        <f ca="1">(N442-O442)*(1+'Retirement Planning'!$J$23/12)</f>
        <v>0</v>
      </c>
      <c r="O443" s="59">
        <f ca="1">IF(B443&gt;59.5,MAX(0,MIN((AA443+$Y443+$AJ443)*(IF(D443&lt;(MIN(E431:E442)+1),1,'Retirement Planning'!$J$44))-M443-$G443-$X443-(IF(D443&lt;(MIN(E431:E442)+1),D443,0)),N443)),0)</f>
        <v>0</v>
      </c>
      <c r="P443" s="57">
        <f t="shared" si="183"/>
        <v>0</v>
      </c>
      <c r="Q443" s="58">
        <f t="shared" si="184"/>
        <v>0</v>
      </c>
      <c r="R443" s="57">
        <f ca="1">(R442-S442-T442)*(1+'Retirement Planning'!$J$23/12)</f>
        <v>1985953.8417491894</v>
      </c>
      <c r="S443" s="58">
        <f t="shared" ca="1" si="185"/>
        <v>808.33333333333337</v>
      </c>
      <c r="T443" s="273">
        <f t="shared" ca="1" si="174"/>
        <v>-3.4106051316484809E-12</v>
      </c>
      <c r="U443" s="57">
        <f ca="1">(U442-V442)*(1+'Retirement Planning'!$J$23/12)</f>
        <v>1054854.8060532028</v>
      </c>
      <c r="V443" s="24">
        <f ca="1">IF(AND($B$10&lt;55,B443&lt;59.5),MIN(U443,MAX(0,(Y443+AA443+AJ443-G443)*'Retirement Planning'!$J$45)),IF(B443&lt;59.5,(MIN(U443,MAX(0,((Y443+AA443+AJ443)-G443-M443)*'Retirement Planning'!$J$45))),MIN(U443,MAX(0,(Y443+AA443+AJ443-G443-M443-K443-X443)*'Retirement Planning'!$J$45))))</f>
        <v>2077.608567485921</v>
      </c>
      <c r="W443" s="7">
        <f t="shared" ca="1" si="175"/>
        <v>4808896.9600422997</v>
      </c>
      <c r="X443" s="7">
        <f>(IF(B443&gt;'Retirement Planning'!$J$34,IF('Retirement Planning'!$J$34=70,'Retirement Planning'!$J$37/12,IF('Retirement Planning'!$J$34=67,'Retirement Planning'!$J$36/12,'Retirement Planning'!$J$35/12)),0))*'Retirement Planning'!$J$38</f>
        <v>1213.6000000000001</v>
      </c>
      <c r="Y443" s="7">
        <f ca="1">'Retirement Planning'!$F$35*((1+'Retirement Planning'!$J$24)^(YEAR('Projected Retirement Drawdown'!C443)-YEAR(TODAY())))</f>
        <v>17912.153874091768</v>
      </c>
      <c r="Z443" s="7">
        <f ca="1">G443+M443+O443+0.85*X443+V443*'Retirement Planning'!$J$46+T443</f>
        <v>20215.369422227057</v>
      </c>
      <c r="AA443" s="7">
        <f ca="1">IF(MONTH(C443)=1,(((MIN(MAX(0,((SUM(Z431:Z442)-'Retirement Planning'!$I$53-'Retirement Planning'!$I$54)-'Retirement Planning'!$J$51)*'Retirement Planning'!$I$52))))+(MIN(MAX(0,((SUM(Z431:Z442)-'Retirement Planning'!$I$53-'Retirement Planning'!$I$54)-'Retirement Planning'!$J$50)*'Retirement Planning'!$I$51),('Retirement Planning'!$J$51-'Retirement Planning'!$J$50)*'Retirement Planning'!$I$51))+(MIN(MAX(0,((SUM(Z431:Z442)-'Retirement Planning'!$I$53-'Retirement Planning'!$I$54)-'Retirement Planning'!$J$49)*'Retirement Planning'!$I$50),('Retirement Planning'!$J$50-'Retirement Planning'!$J$49)*'Retirement Planning'!$I$50)+MIN(MAX(0,((SUM(Z431:Z442)-'Retirement Planning'!$I$53-'Retirement Planning'!$I$54)-'Retirement Planning'!$J$48)*'Retirement Planning'!$I$49),('Retirement Planning'!$J$49-'Retirement Planning'!$J$48)*'Retirement Planning'!$I$49)+MIN(((SUM(Z431:Z442)-'Retirement Planning'!$I$53-'Retirement Planning'!$I$54))*'Retirement Planning'!$I$48,('Retirement Planning'!$J$48)*'Retirement Planning'!$I$48))+(IF((SUM(Z431:Z442)-'Retirement Planning'!$I$54-'Retirement Planning'!$I$61)&gt;'Retirement Planning'!$J$59,(SUM(Z431:Z442)-'Retirement Planning'!$I$54-'Retirement Planning'!$I$61-'Retirement Planning'!$J$59)*'Retirement Planning'!$I$60+'Retirement Planning'!$K$59,IF((SUM(Z431:Z442)-'Retirement Planning'!$I$54-'Retirement Planning'!$I$61)&gt;'Retirement Planning'!$J$58,(SUM(Z431:Z442)-'Retirement Planning'!$I$54-'Retirement Planning'!$I$61-'Retirement Planning'!$J$58)*'Retirement Planning'!$I$59+'Retirement Planning'!$K$58,IF((SUM(Z431:Z442)-'Retirement Planning'!$I$54-'Retirement Planning'!$I$61)&gt;'Retirement Planning'!$J$57,(SUM(Z431:Z442)-'Retirement Planning'!$I$54-'Retirement Planning'!$I$61-'Retirement Planning'!$J$57)*'Retirement Planning'!$I$58+'Retirement Planning'!$K$57,IF((SUM(Z431:Z442)-'Retirement Planning'!$I$54-'Retirement Planning'!$I$61)&gt;'Retirement Planning'!$J$56,(SUM(Z431:Z442)-'Retirement Planning'!$I$54-'Retirement Planning'!$I$61-'Retirement Planning'!$J$56)*'Retirement Planning'!$I$57+'Retirement Planning'!$K$56,(SUM(Z431:Z442)-'Retirement Planning'!$I$54-'Retirement Planning'!$I$61)*'Retirement Planning'!$I$56))))))/12,AA442)</f>
        <v>5542.4445334511947</v>
      </c>
      <c r="AB443" s="104">
        <f t="shared" ca="1" si="193"/>
        <v>0.28479592282722271</v>
      </c>
      <c r="AC443" s="7">
        <f>IF(B443&lt;65,'Retirement Planning'!$J$28,0)</f>
        <v>0</v>
      </c>
      <c r="AD443" s="7">
        <f>IF(B443&lt;65,'Retirement Planning'!$J$29/12,0)</f>
        <v>0</v>
      </c>
      <c r="AE443" s="22">
        <f>'Retirement Planning'!$J$31/12</f>
        <v>58.333333333333336</v>
      </c>
      <c r="AF443" s="22">
        <f>'Retirement Planning'!$J$32/12</f>
        <v>66.666666666666671</v>
      </c>
      <c r="AG443" s="7">
        <f>IF($B443&gt;64.9,'Retirement Planning'!$J$39/12,0)</f>
        <v>183.33333333333334</v>
      </c>
      <c r="AH443" s="7">
        <f>IF($B443&gt;64.9,'Retirement Planning'!$J$40/12,0)</f>
        <v>258.33333333333331</v>
      </c>
      <c r="AI443" s="7">
        <f>IF($B443&gt;64.9,'Retirement Planning'!$J$41/12,0)</f>
        <v>558.33333333333337</v>
      </c>
      <c r="AJ443" s="7">
        <f t="shared" ca="1" si="176"/>
        <v>316.66666666666663</v>
      </c>
      <c r="AK443" s="3" t="str">
        <f t="shared" ca="1" si="190"/>
        <v>N/A</v>
      </c>
      <c r="AL443" s="6" t="str">
        <f t="shared" ca="1" si="191"/>
        <v>N/A</v>
      </c>
      <c r="AM443" s="7">
        <f t="shared" ca="1" si="177"/>
        <v>-6.8212102632969618E-13</v>
      </c>
      <c r="AN443" s="7">
        <f t="shared" ca="1" si="178"/>
        <v>24579.598407542962</v>
      </c>
      <c r="AO443" s="7">
        <f t="shared" si="179"/>
        <v>1125</v>
      </c>
    </row>
    <row r="444" spans="1:41" x14ac:dyDescent="0.2">
      <c r="A444">
        <f t="shared" si="180"/>
        <v>50</v>
      </c>
      <c r="B444" s="5">
        <f t="shared" si="181"/>
        <v>92.5</v>
      </c>
      <c r="C444" s="56">
        <f t="shared" si="182"/>
        <v>59627</v>
      </c>
      <c r="D444" s="57">
        <f ca="1">IF(AND(B443&lt;59.5,OR(B444&gt;59.5,B444=59.5)),(D443-E443+J443-K443)*(1+'Retirement Planning'!$J$23/12),(D443-E443)*(1+'Retirement Planning'!$J$23/12))</f>
        <v>1307086.8979829312</v>
      </c>
      <c r="E444" s="58">
        <f t="shared" ca="1" si="171"/>
        <v>2438.9317966139097</v>
      </c>
      <c r="F444" s="57">
        <f ca="1">IF(AND(OR(B444&gt;59.5,B444=59.5),B443&lt;59.5),(F443-G443+L443-M443+N443-O443)*(1+'Retirement Planning'!$J$23/12),(F443-G443)*(1+'Retirement Planning'!$J$23/12))</f>
        <v>452900.24956169596</v>
      </c>
      <c r="G444" s="58">
        <f ca="1">IF(AND($B$10&lt;55,B444&lt;59.5),'Retirement Planning'!$J$25,IF(OR(B444&gt;59.5,B444=59.5),MAX(0,MIN(F444,IF(D444&lt;2500,((Y444+AJ444+AA444))-X444,((Y444+AJ444+AA444)*'Retirement Planning'!$J$44)-X444))),0))</f>
        <v>18041.124710109802</v>
      </c>
      <c r="H444" s="255">
        <f ca="1">IF(MONTH(C444)=1,IF(B444&gt;69.5,F444/(INDEX('Retirement Planning'!D$1:D$264,(160+INT(B444))))/12,0),IF(F444=0,0,H443))</f>
        <v>7967.2188724741327</v>
      </c>
      <c r="I444" s="262">
        <f t="shared" ca="1" si="172"/>
        <v>0</v>
      </c>
      <c r="J444" s="254">
        <f ca="1">IF(AND(B443&lt;59.5,OR(B444=59.5,B444&gt;59.5)),0,(J443-K443)*(1+'Retirement Planning'!$J$23/12))</f>
        <v>0</v>
      </c>
      <c r="K444" s="58">
        <f t="shared" ca="1" si="173"/>
        <v>0</v>
      </c>
      <c r="L444" s="57">
        <f>IF(AND(OR(B444&gt;59.5,B444=59.5),B443&lt;59.5),0,(L443-M443)*(1+'Retirement Planning'!$J$23/12))</f>
        <v>0</v>
      </c>
      <c r="M444" s="59">
        <f>IF(AND($B$10&lt;55,B444&lt;59.5),0,IF(B444&lt;59.5,MAX(0,MIN((($Y444+$AJ444+AA444)*'Retirement Planning'!$J$44)-$G444-$X444,L444)),0))</f>
        <v>0</v>
      </c>
      <c r="N444" s="57">
        <f ca="1">(N443-O443)*(1+'Retirement Planning'!$J$23/12)</f>
        <v>0</v>
      </c>
      <c r="O444" s="59">
        <f ca="1">IF(B444&gt;59.5,MAX(0,MIN((AA444+$Y444+$AJ444)*(IF(D444&lt;(MIN(E432:E443)+1),1,'Retirement Planning'!$J$44))-M444-$G444-$X444-(IF(D444&lt;(MIN(E432:E443)+1),D444,0)),N444)),0)</f>
        <v>0</v>
      </c>
      <c r="P444" s="57">
        <f t="shared" si="183"/>
        <v>0</v>
      </c>
      <c r="Q444" s="58">
        <f t="shared" si="184"/>
        <v>0</v>
      </c>
      <c r="R444" s="57">
        <f ca="1">(R443-S443-T443)*(1+'Retirement Planning'!$J$23/12)</f>
        <v>1999206.9557671351</v>
      </c>
      <c r="S444" s="58">
        <f t="shared" ca="1" si="185"/>
        <v>808.33333333333337</v>
      </c>
      <c r="T444" s="273">
        <f t="shared" ca="1" si="174"/>
        <v>-3.4106051316484809E-12</v>
      </c>
      <c r="U444" s="57">
        <f ca="1">(U443-V443)*(1+'Retirement Planning'!$J$23/12)</f>
        <v>1060234.3693012409</v>
      </c>
      <c r="V444" s="24">
        <f ca="1">IF(AND($B$10&lt;55,B444&lt;59.5),MIN(U444,MAX(0,(Y444+AA444+AJ444-G444)*'Retirement Planning'!$J$45)),IF(B444&lt;59.5,(MIN(U444,MAX(0,((Y444+AA444+AJ444)-G444-M444)*'Retirement Planning'!$J$45))),MIN(U444,MAX(0,(Y444+AA444+AJ444-G444-M444-K444-X444)*'Retirement Planning'!$J$45))))</f>
        <v>2077.608567485921</v>
      </c>
      <c r="W444" s="7">
        <f t="shared" ca="1" si="175"/>
        <v>4819428.4726130031</v>
      </c>
      <c r="X444" s="7">
        <f>(IF(B444&gt;'Retirement Planning'!$J$34,IF('Retirement Planning'!$J$34=70,'Retirement Planning'!$J$37/12,IF('Retirement Planning'!$J$34=67,'Retirement Planning'!$J$36/12,'Retirement Planning'!$J$35/12)),0))*'Retirement Planning'!$J$38</f>
        <v>1213.6000000000001</v>
      </c>
      <c r="Y444" s="7">
        <f ca="1">'Retirement Planning'!$F$35*((1+'Retirement Planning'!$J$24)^(YEAR('Projected Retirement Drawdown'!C444)-YEAR(TODAY())))</f>
        <v>17912.153874091768</v>
      </c>
      <c r="Z444" s="7">
        <f ca="1">G444+M444+O444+0.85*X444+V444*'Retirement Planning'!$J$46+T444</f>
        <v>20215.369422227057</v>
      </c>
      <c r="AA444" s="7">
        <f ca="1">IF(MONTH(C444)=1,(((MIN(MAX(0,((SUM(Z432:Z443)-'Retirement Planning'!$I$53-'Retirement Planning'!$I$54)-'Retirement Planning'!$J$51)*'Retirement Planning'!$I$52))))+(MIN(MAX(0,((SUM(Z432:Z443)-'Retirement Planning'!$I$53-'Retirement Planning'!$I$54)-'Retirement Planning'!$J$50)*'Retirement Planning'!$I$51),('Retirement Planning'!$J$51-'Retirement Planning'!$J$50)*'Retirement Planning'!$I$51))+(MIN(MAX(0,((SUM(Z432:Z443)-'Retirement Planning'!$I$53-'Retirement Planning'!$I$54)-'Retirement Planning'!$J$49)*'Retirement Planning'!$I$50),('Retirement Planning'!$J$50-'Retirement Planning'!$J$49)*'Retirement Planning'!$I$50)+MIN(MAX(0,((SUM(Z432:Z443)-'Retirement Planning'!$I$53-'Retirement Planning'!$I$54)-'Retirement Planning'!$J$48)*'Retirement Planning'!$I$49),('Retirement Planning'!$J$49-'Retirement Planning'!$J$48)*'Retirement Planning'!$I$49)+MIN(((SUM(Z432:Z443)-'Retirement Planning'!$I$53-'Retirement Planning'!$I$54))*'Retirement Planning'!$I$48,('Retirement Planning'!$J$48)*'Retirement Planning'!$I$48))+(IF((SUM(Z432:Z443)-'Retirement Planning'!$I$54-'Retirement Planning'!$I$61)&gt;'Retirement Planning'!$J$59,(SUM(Z432:Z443)-'Retirement Planning'!$I$54-'Retirement Planning'!$I$61-'Retirement Planning'!$J$59)*'Retirement Planning'!$I$60+'Retirement Planning'!$K$59,IF((SUM(Z432:Z443)-'Retirement Planning'!$I$54-'Retirement Planning'!$I$61)&gt;'Retirement Planning'!$J$58,(SUM(Z432:Z443)-'Retirement Planning'!$I$54-'Retirement Planning'!$I$61-'Retirement Planning'!$J$58)*'Retirement Planning'!$I$59+'Retirement Planning'!$K$58,IF((SUM(Z432:Z443)-'Retirement Planning'!$I$54-'Retirement Planning'!$I$61)&gt;'Retirement Planning'!$J$57,(SUM(Z432:Z443)-'Retirement Planning'!$I$54-'Retirement Planning'!$I$61-'Retirement Planning'!$J$57)*'Retirement Planning'!$I$58+'Retirement Planning'!$K$57,IF((SUM(Z432:Z443)-'Retirement Planning'!$I$54-'Retirement Planning'!$I$61)&gt;'Retirement Planning'!$J$56,(SUM(Z432:Z443)-'Retirement Planning'!$I$54-'Retirement Planning'!$I$61-'Retirement Planning'!$J$56)*'Retirement Planning'!$I$57+'Retirement Planning'!$K$56,(SUM(Z432:Z443)-'Retirement Planning'!$I$54-'Retirement Planning'!$I$61)*'Retirement Planning'!$I$56))))))/12,AA443)</f>
        <v>5542.4445334511947</v>
      </c>
      <c r="AB444" s="104">
        <f t="shared" ca="1" si="193"/>
        <v>0.28479592282722271</v>
      </c>
      <c r="AC444" s="7">
        <f>IF(B444&lt;65,'Retirement Planning'!$J$28,0)</f>
        <v>0</v>
      </c>
      <c r="AD444" s="7">
        <f>IF(B444&lt;65,'Retirement Planning'!$J$29/12,0)</f>
        <v>0</v>
      </c>
      <c r="AE444" s="22">
        <f>'Retirement Planning'!$J$31/12</f>
        <v>58.333333333333336</v>
      </c>
      <c r="AF444" s="22">
        <f>'Retirement Planning'!$J$32/12</f>
        <v>66.666666666666671</v>
      </c>
      <c r="AG444" s="7">
        <f>IF($B444&gt;64.9,'Retirement Planning'!$J$39/12,0)</f>
        <v>183.33333333333334</v>
      </c>
      <c r="AH444" s="7">
        <f>IF($B444&gt;64.9,'Retirement Planning'!$J$40/12,0)</f>
        <v>258.33333333333331</v>
      </c>
      <c r="AI444" s="7">
        <f>IF($B444&gt;64.9,'Retirement Planning'!$J$41/12,0)</f>
        <v>558.33333333333337</v>
      </c>
      <c r="AJ444" s="7">
        <f t="shared" ca="1" si="176"/>
        <v>316.66666666666663</v>
      </c>
      <c r="AK444" s="3" t="str">
        <f t="shared" ca="1" si="190"/>
        <v>N/A</v>
      </c>
      <c r="AL444" s="6" t="str">
        <f t="shared" ca="1" si="191"/>
        <v>N/A</v>
      </c>
      <c r="AM444" s="7">
        <f t="shared" ca="1" si="177"/>
        <v>-6.8212102632969618E-13</v>
      </c>
      <c r="AN444" s="7">
        <f t="shared" ca="1" si="178"/>
        <v>24579.598407542962</v>
      </c>
      <c r="AO444" s="7">
        <f t="shared" si="179"/>
        <v>1125</v>
      </c>
    </row>
    <row r="445" spans="1:41" x14ac:dyDescent="0.2">
      <c r="A445">
        <f t="shared" si="180"/>
        <v>50</v>
      </c>
      <c r="B445" s="5">
        <f t="shared" si="181"/>
        <v>92.5</v>
      </c>
      <c r="C445" s="56">
        <f t="shared" si="182"/>
        <v>59657</v>
      </c>
      <c r="D445" s="57">
        <f ca="1">IF(AND(B444&lt;59.5,OR(B445&gt;59.5,B445=59.5)),(D444-E444+J444-K444)*(1+'Retirement Planning'!$J$23/12),(D444-E444)*(1+'Retirement Planning'!$J$23/12))</f>
        <v>1313889.2226134704</v>
      </c>
      <c r="E445" s="58">
        <f t="shared" ca="1" si="171"/>
        <v>2438.9317966139097</v>
      </c>
      <c r="F445" s="57">
        <f ca="1">IF(AND(OR(B445&gt;59.5,B445=59.5),B444&lt;59.5),(F444-G444+L444-M444+N444-O444)*(1+'Retirement Planning'!$J$23/12),(F444-G444)*(1+'Retirement Planning'!$J$23/12))</f>
        <v>437939.37698595156</v>
      </c>
      <c r="G445" s="58">
        <f ca="1">IF(AND($B$10&lt;55,B445&lt;59.5),'Retirement Planning'!$J$25,IF(OR(B445&gt;59.5,B445=59.5),MAX(0,MIN(F445,IF(D445&lt;2500,((Y445+AJ445+AA445))-X445,((Y445+AJ445+AA445)*'Retirement Planning'!$J$44)-X445))),0))</f>
        <v>18041.124710109802</v>
      </c>
      <c r="H445" s="255">
        <f ca="1">IF(MONTH(C445)=1,IF(B445&gt;69.5,F445/(INDEX('Retirement Planning'!D$1:D$264,(160+INT(B445))))/12,0),IF(F445=0,0,H444))</f>
        <v>7967.2188724741327</v>
      </c>
      <c r="I445" s="262">
        <f t="shared" ca="1" si="172"/>
        <v>0</v>
      </c>
      <c r="J445" s="254">
        <f ca="1">IF(AND(B444&lt;59.5,OR(B445=59.5,B445&gt;59.5)),0,(J444-K444)*(1+'Retirement Planning'!$J$23/12))</f>
        <v>0</v>
      </c>
      <c r="K445" s="58">
        <f t="shared" ca="1" si="173"/>
        <v>0</v>
      </c>
      <c r="L445" s="57">
        <f>IF(AND(OR(B445&gt;59.5,B445=59.5),B444&lt;59.5),0,(L444-M444)*(1+'Retirement Planning'!$J$23/12))</f>
        <v>0</v>
      </c>
      <c r="M445" s="59">
        <f>IF(AND($B$10&lt;55,B445&lt;59.5),0,IF(B445&lt;59.5,MAX(0,MIN((($Y445+$AJ445+AA445)*'Retirement Planning'!$J$44)-$G445-$X445,L445)),0))</f>
        <v>0</v>
      </c>
      <c r="N445" s="57">
        <f ca="1">(N444-O444)*(1+'Retirement Planning'!$J$23/12)</f>
        <v>0</v>
      </c>
      <c r="O445" s="59">
        <f ca="1">IF(B445&gt;59.5,MAX(0,MIN((AA445+$Y445+$AJ445)*(IF(D445&lt;(MIN(E433:E444)+1),1,'Retirement Planning'!$J$44))-M445-$G445-$X445-(IF(D445&lt;(MIN(E433:E444)+1),D445,0)),N445)),0)</f>
        <v>0</v>
      </c>
      <c r="P445" s="57">
        <f t="shared" si="183"/>
        <v>0</v>
      </c>
      <c r="Q445" s="58">
        <f t="shared" si="184"/>
        <v>0</v>
      </c>
      <c r="R445" s="57">
        <f ca="1">(R444-S444-T444)*(1+'Retirement Planning'!$J$23/12)</f>
        <v>2012553.9460093747</v>
      </c>
      <c r="S445" s="58">
        <f t="shared" ca="1" si="185"/>
        <v>808.33333333333337</v>
      </c>
      <c r="T445" s="273">
        <f t="shared" ca="1" si="174"/>
        <v>-3.4106051316484809E-12</v>
      </c>
      <c r="U445" s="57">
        <f ca="1">(U444-V444)*(1+'Retirement Planning'!$J$23/12)</f>
        <v>1065652.0377889525</v>
      </c>
      <c r="V445" s="24">
        <f ca="1">IF(AND($B$10&lt;55,B445&lt;59.5),MIN(U445,MAX(0,(Y445+AA445+AJ445-G445)*'Retirement Planning'!$J$45)),IF(B445&lt;59.5,(MIN(U445,MAX(0,((Y445+AA445+AJ445)-G445-M445)*'Retirement Planning'!$J$45))),MIN(U445,MAX(0,(Y445+AA445+AJ445-G445-M445-K445-X445)*'Retirement Planning'!$J$45))))</f>
        <v>2077.608567485921</v>
      </c>
      <c r="W445" s="7">
        <f t="shared" ca="1" si="175"/>
        <v>4830034.5833977489</v>
      </c>
      <c r="X445" s="7">
        <f>(IF(B445&gt;'Retirement Planning'!$J$34,IF('Retirement Planning'!$J$34=70,'Retirement Planning'!$J$37/12,IF('Retirement Planning'!$J$34=67,'Retirement Planning'!$J$36/12,'Retirement Planning'!$J$35/12)),0))*'Retirement Planning'!$J$38</f>
        <v>1213.6000000000001</v>
      </c>
      <c r="Y445" s="7">
        <f ca="1">'Retirement Planning'!$F$35*((1+'Retirement Planning'!$J$24)^(YEAR('Projected Retirement Drawdown'!C445)-YEAR(TODAY())))</f>
        <v>17912.153874091768</v>
      </c>
      <c r="Z445" s="7">
        <f ca="1">G445+M445+O445+0.85*X445+V445*'Retirement Planning'!$J$46+T445</f>
        <v>20215.369422227057</v>
      </c>
      <c r="AA445" s="7">
        <f ca="1">IF(MONTH(C445)=1,(((MIN(MAX(0,((SUM(Z433:Z444)-'Retirement Planning'!$I$53-'Retirement Planning'!$I$54)-'Retirement Planning'!$J$51)*'Retirement Planning'!$I$52))))+(MIN(MAX(0,((SUM(Z433:Z444)-'Retirement Planning'!$I$53-'Retirement Planning'!$I$54)-'Retirement Planning'!$J$50)*'Retirement Planning'!$I$51),('Retirement Planning'!$J$51-'Retirement Planning'!$J$50)*'Retirement Planning'!$I$51))+(MIN(MAX(0,((SUM(Z433:Z444)-'Retirement Planning'!$I$53-'Retirement Planning'!$I$54)-'Retirement Planning'!$J$49)*'Retirement Planning'!$I$50),('Retirement Planning'!$J$50-'Retirement Planning'!$J$49)*'Retirement Planning'!$I$50)+MIN(MAX(0,((SUM(Z433:Z444)-'Retirement Planning'!$I$53-'Retirement Planning'!$I$54)-'Retirement Planning'!$J$48)*'Retirement Planning'!$I$49),('Retirement Planning'!$J$49-'Retirement Planning'!$J$48)*'Retirement Planning'!$I$49)+MIN(((SUM(Z433:Z444)-'Retirement Planning'!$I$53-'Retirement Planning'!$I$54))*'Retirement Planning'!$I$48,('Retirement Planning'!$J$48)*'Retirement Planning'!$I$48))+(IF((SUM(Z433:Z444)-'Retirement Planning'!$I$54-'Retirement Planning'!$I$61)&gt;'Retirement Planning'!$J$59,(SUM(Z433:Z444)-'Retirement Planning'!$I$54-'Retirement Planning'!$I$61-'Retirement Planning'!$J$59)*'Retirement Planning'!$I$60+'Retirement Planning'!$K$59,IF((SUM(Z433:Z444)-'Retirement Planning'!$I$54-'Retirement Planning'!$I$61)&gt;'Retirement Planning'!$J$58,(SUM(Z433:Z444)-'Retirement Planning'!$I$54-'Retirement Planning'!$I$61-'Retirement Planning'!$J$58)*'Retirement Planning'!$I$59+'Retirement Planning'!$K$58,IF((SUM(Z433:Z444)-'Retirement Planning'!$I$54-'Retirement Planning'!$I$61)&gt;'Retirement Planning'!$J$57,(SUM(Z433:Z444)-'Retirement Planning'!$I$54-'Retirement Planning'!$I$61-'Retirement Planning'!$J$57)*'Retirement Planning'!$I$58+'Retirement Planning'!$K$57,IF((SUM(Z433:Z444)-'Retirement Planning'!$I$54-'Retirement Planning'!$I$61)&gt;'Retirement Planning'!$J$56,(SUM(Z433:Z444)-'Retirement Planning'!$I$54-'Retirement Planning'!$I$61-'Retirement Planning'!$J$56)*'Retirement Planning'!$I$57+'Retirement Planning'!$K$56,(SUM(Z433:Z444)-'Retirement Planning'!$I$54-'Retirement Planning'!$I$61)*'Retirement Planning'!$I$56))))))/12,AA444)</f>
        <v>5542.4445334511947</v>
      </c>
      <c r="AB445" s="104">
        <f t="shared" ca="1" si="193"/>
        <v>0.28479592282722271</v>
      </c>
      <c r="AC445" s="7">
        <f>IF(B445&lt;65,'Retirement Planning'!$J$28,0)</f>
        <v>0</v>
      </c>
      <c r="AD445" s="7">
        <f>IF(B445&lt;65,'Retirement Planning'!$J$29/12,0)</f>
        <v>0</v>
      </c>
      <c r="AE445" s="22">
        <f>'Retirement Planning'!$J$31/12</f>
        <v>58.333333333333336</v>
      </c>
      <c r="AF445" s="22">
        <f>'Retirement Planning'!$J$32/12</f>
        <v>66.666666666666671</v>
      </c>
      <c r="AG445" s="7">
        <f>IF($B445&gt;64.9,'Retirement Planning'!$J$39/12,0)</f>
        <v>183.33333333333334</v>
      </c>
      <c r="AH445" s="7">
        <f>IF($B445&gt;64.9,'Retirement Planning'!$J$40/12,0)</f>
        <v>258.33333333333331</v>
      </c>
      <c r="AI445" s="7">
        <f>IF($B445&gt;64.9,'Retirement Planning'!$J$41/12,0)</f>
        <v>558.33333333333337</v>
      </c>
      <c r="AJ445" s="7">
        <f t="shared" ca="1" si="176"/>
        <v>316.66666666666663</v>
      </c>
      <c r="AK445" s="3" t="str">
        <f t="shared" ca="1" si="190"/>
        <v>N/A</v>
      </c>
      <c r="AL445" s="6" t="str">
        <f t="shared" ca="1" si="191"/>
        <v>N/A</v>
      </c>
      <c r="AM445" s="7">
        <f t="shared" ca="1" si="177"/>
        <v>-6.8212102632969618E-13</v>
      </c>
      <c r="AN445" s="7">
        <f t="shared" ca="1" si="178"/>
        <v>24579.598407542962</v>
      </c>
      <c r="AO445" s="7">
        <f t="shared" si="179"/>
        <v>1125</v>
      </c>
    </row>
    <row r="446" spans="1:41" x14ac:dyDescent="0.2">
      <c r="A446">
        <f t="shared" si="180"/>
        <v>50</v>
      </c>
      <c r="B446" s="5">
        <f t="shared" si="181"/>
        <v>92.6</v>
      </c>
      <c r="C446" s="56">
        <f t="shared" si="182"/>
        <v>59688</v>
      </c>
      <c r="D446" s="57">
        <f ca="1">IF(AND(B445&lt;59.5,OR(B446&gt;59.5,B446=59.5)),(D445-E445+J445-K445)*(1+'Retirement Planning'!$J$23/12),(D445-E445)*(1+'Retirement Planning'!$J$23/12))</f>
        <v>1320739.7303768094</v>
      </c>
      <c r="E446" s="58">
        <f t="shared" ca="1" si="171"/>
        <v>2438.9317966139097</v>
      </c>
      <c r="F446" s="57">
        <f ca="1">IF(AND(OR(B446&gt;59.5,B446=59.5),B445&lt;59.5),(F445-G445+L445-M445+N445-O445)*(1+'Retirement Planning'!$J$23/12),(F445-G445)*(1+'Retirement Planning'!$J$23/12))</f>
        <v>422872.53156279563</v>
      </c>
      <c r="G446" s="58">
        <f ca="1">IF(AND($B$10&lt;55,B446&lt;59.5),'Retirement Planning'!$J$25,IF(OR(B446&gt;59.5,B446=59.5),MAX(0,MIN(F446,IF(D446&lt;2500,((Y446+AJ446+AA446))-X446,((Y446+AJ446+AA446)*'Retirement Planning'!$J$44)-X446))),0))</f>
        <v>18041.124710109802</v>
      </c>
      <c r="H446" s="255">
        <f ca="1">IF(MONTH(C446)=1,IF(B446&gt;69.5,F446/(INDEX('Retirement Planning'!D$1:D$264,(160+INT(B446))))/12,0),IF(F446=0,0,H445))</f>
        <v>7967.2188724741327</v>
      </c>
      <c r="I446" s="262">
        <f t="shared" ca="1" si="172"/>
        <v>0</v>
      </c>
      <c r="J446" s="254">
        <f ca="1">IF(AND(B445&lt;59.5,OR(B446=59.5,B446&gt;59.5)),0,(J445-K445)*(1+'Retirement Planning'!$J$23/12))</f>
        <v>0</v>
      </c>
      <c r="K446" s="58">
        <f t="shared" ca="1" si="173"/>
        <v>0</v>
      </c>
      <c r="L446" s="57">
        <f>IF(AND(OR(B446&gt;59.5,B446=59.5),B445&lt;59.5),0,(L445-M445)*(1+'Retirement Planning'!$J$23/12))</f>
        <v>0</v>
      </c>
      <c r="M446" s="59">
        <f>IF(AND($B$10&lt;55,B446&lt;59.5),0,IF(B446&lt;59.5,MAX(0,MIN((($Y446+$AJ446+AA446)*'Retirement Planning'!$J$44)-$G446-$X446,L446)),0))</f>
        <v>0</v>
      </c>
      <c r="N446" s="57">
        <f ca="1">(N445-O445)*(1+'Retirement Planning'!$J$23/12)</f>
        <v>0</v>
      </c>
      <c r="O446" s="59">
        <f ca="1">IF(B446&gt;59.5,MAX(0,MIN((AA446+$Y446+$AJ446)*(IF(D446&lt;(MIN(E434:E445)+1),1,'Retirement Planning'!$J$44))-M446-$G446-$X446-(IF(D446&lt;(MIN(E434:E445)+1),D446,0)),N446)),0)</f>
        <v>0</v>
      </c>
      <c r="P446" s="57">
        <f t="shared" si="183"/>
        <v>0</v>
      </c>
      <c r="Q446" s="58">
        <f t="shared" si="184"/>
        <v>0</v>
      </c>
      <c r="R446" s="57">
        <f ca="1">(R445-S445-T445)*(1+'Retirement Planning'!$J$23/12)</f>
        <v>2025995.4774324966</v>
      </c>
      <c r="S446" s="58">
        <f t="shared" ca="1" si="185"/>
        <v>808.33333333333337</v>
      </c>
      <c r="T446" s="273">
        <f t="shared" ca="1" si="174"/>
        <v>-3.4106051316484809E-12</v>
      </c>
      <c r="U446" s="57">
        <f ca="1">(U445-V445)*(1+'Retirement Planning'!$J$23/12)</f>
        <v>1071108.0814284519</v>
      </c>
      <c r="V446" s="24">
        <f ca="1">IF(AND($B$10&lt;55,B446&lt;59.5),MIN(U446,MAX(0,(Y446+AA446+AJ446-G446)*'Retirement Planning'!$J$45)),IF(B446&lt;59.5,(MIN(U446,MAX(0,((Y446+AA446+AJ446)-G446-M446)*'Retirement Planning'!$J$45))),MIN(U446,MAX(0,(Y446+AA446+AJ446-G446-M446-K446-X446)*'Retirement Planning'!$J$45))))</f>
        <v>2077.608567485921</v>
      </c>
      <c r="W446" s="7">
        <f t="shared" ca="1" si="175"/>
        <v>4840715.820800554</v>
      </c>
      <c r="X446" s="7">
        <f>(IF(B446&gt;'Retirement Planning'!$J$34,IF('Retirement Planning'!$J$34=70,'Retirement Planning'!$J$37/12,IF('Retirement Planning'!$J$34=67,'Retirement Planning'!$J$36/12,'Retirement Planning'!$J$35/12)),0))*'Retirement Planning'!$J$38</f>
        <v>1213.6000000000001</v>
      </c>
      <c r="Y446" s="7">
        <f ca="1">'Retirement Planning'!$F$35*((1+'Retirement Planning'!$J$24)^(YEAR('Projected Retirement Drawdown'!C446)-YEAR(TODAY())))</f>
        <v>17912.153874091768</v>
      </c>
      <c r="Z446" s="7">
        <f ca="1">G446+M446+O446+0.85*X446+V446*'Retirement Planning'!$J$46+T446</f>
        <v>20215.369422227057</v>
      </c>
      <c r="AA446" s="7">
        <f ca="1">IF(MONTH(C446)=1,(((MIN(MAX(0,((SUM(Z434:Z445)-'Retirement Planning'!$I$53-'Retirement Planning'!$I$54)-'Retirement Planning'!$J$51)*'Retirement Planning'!$I$52))))+(MIN(MAX(0,((SUM(Z434:Z445)-'Retirement Planning'!$I$53-'Retirement Planning'!$I$54)-'Retirement Planning'!$J$50)*'Retirement Planning'!$I$51),('Retirement Planning'!$J$51-'Retirement Planning'!$J$50)*'Retirement Planning'!$I$51))+(MIN(MAX(0,((SUM(Z434:Z445)-'Retirement Planning'!$I$53-'Retirement Planning'!$I$54)-'Retirement Planning'!$J$49)*'Retirement Planning'!$I$50),('Retirement Planning'!$J$50-'Retirement Planning'!$J$49)*'Retirement Planning'!$I$50)+MIN(MAX(0,((SUM(Z434:Z445)-'Retirement Planning'!$I$53-'Retirement Planning'!$I$54)-'Retirement Planning'!$J$48)*'Retirement Planning'!$I$49),('Retirement Planning'!$J$49-'Retirement Planning'!$J$48)*'Retirement Planning'!$I$49)+MIN(((SUM(Z434:Z445)-'Retirement Planning'!$I$53-'Retirement Planning'!$I$54))*'Retirement Planning'!$I$48,('Retirement Planning'!$J$48)*'Retirement Planning'!$I$48))+(IF((SUM(Z434:Z445)-'Retirement Planning'!$I$54-'Retirement Planning'!$I$61)&gt;'Retirement Planning'!$J$59,(SUM(Z434:Z445)-'Retirement Planning'!$I$54-'Retirement Planning'!$I$61-'Retirement Planning'!$J$59)*'Retirement Planning'!$I$60+'Retirement Planning'!$K$59,IF((SUM(Z434:Z445)-'Retirement Planning'!$I$54-'Retirement Planning'!$I$61)&gt;'Retirement Planning'!$J$58,(SUM(Z434:Z445)-'Retirement Planning'!$I$54-'Retirement Planning'!$I$61-'Retirement Planning'!$J$58)*'Retirement Planning'!$I$59+'Retirement Planning'!$K$58,IF((SUM(Z434:Z445)-'Retirement Planning'!$I$54-'Retirement Planning'!$I$61)&gt;'Retirement Planning'!$J$57,(SUM(Z434:Z445)-'Retirement Planning'!$I$54-'Retirement Planning'!$I$61-'Retirement Planning'!$J$57)*'Retirement Planning'!$I$58+'Retirement Planning'!$K$57,IF((SUM(Z434:Z445)-'Retirement Planning'!$I$54-'Retirement Planning'!$I$61)&gt;'Retirement Planning'!$J$56,(SUM(Z434:Z445)-'Retirement Planning'!$I$54-'Retirement Planning'!$I$61-'Retirement Planning'!$J$56)*'Retirement Planning'!$I$57+'Retirement Planning'!$K$56,(SUM(Z434:Z445)-'Retirement Planning'!$I$54-'Retirement Planning'!$I$61)*'Retirement Planning'!$I$56))))))/12,AA445)</f>
        <v>5542.4445334511947</v>
      </c>
      <c r="AB446" s="104">
        <f t="shared" ca="1" si="193"/>
        <v>0.28479592282722271</v>
      </c>
      <c r="AC446" s="7">
        <f>IF(B446&lt;65,'Retirement Planning'!$J$28,0)</f>
        <v>0</v>
      </c>
      <c r="AD446" s="7">
        <f>IF(B446&lt;65,'Retirement Planning'!$J$29/12,0)</f>
        <v>0</v>
      </c>
      <c r="AE446" s="22">
        <f>'Retirement Planning'!$J$31/12</f>
        <v>58.333333333333336</v>
      </c>
      <c r="AF446" s="22">
        <f>'Retirement Planning'!$J$32/12</f>
        <v>66.666666666666671</v>
      </c>
      <c r="AG446" s="7">
        <f>IF($B446&gt;64.9,'Retirement Planning'!$J$39/12,0)</f>
        <v>183.33333333333334</v>
      </c>
      <c r="AH446" s="7">
        <f>IF($B446&gt;64.9,'Retirement Planning'!$J$40/12,0)</f>
        <v>258.33333333333331</v>
      </c>
      <c r="AI446" s="7">
        <f>IF($B446&gt;64.9,'Retirement Planning'!$J$41/12,0)</f>
        <v>558.33333333333337</v>
      </c>
      <c r="AJ446" s="7">
        <f t="shared" ca="1" si="176"/>
        <v>316.66666666666663</v>
      </c>
      <c r="AK446" s="3" t="str">
        <f t="shared" ca="1" si="190"/>
        <v>N/A</v>
      </c>
      <c r="AL446" s="6" t="str">
        <f t="shared" ca="1" si="191"/>
        <v>N/A</v>
      </c>
      <c r="AM446" s="7">
        <f t="shared" ca="1" si="177"/>
        <v>-6.8212102632969618E-13</v>
      </c>
      <c r="AN446" s="7">
        <f t="shared" ca="1" si="178"/>
        <v>24579.598407542962</v>
      </c>
      <c r="AO446" s="7">
        <f t="shared" si="179"/>
        <v>1125</v>
      </c>
    </row>
    <row r="447" spans="1:41" x14ac:dyDescent="0.2">
      <c r="A447">
        <f t="shared" si="180"/>
        <v>50</v>
      </c>
      <c r="B447" s="5">
        <f t="shared" si="181"/>
        <v>92.7</v>
      </c>
      <c r="C447" s="56">
        <f t="shared" si="182"/>
        <v>59718</v>
      </c>
      <c r="D447" s="57">
        <f ca="1">IF(AND(B446&lt;59.5,OR(B447&gt;59.5,B447=59.5)),(D446-E446+J446-K446)*(1+'Retirement Planning'!$J$23/12),(D446-E446)*(1+'Retirement Planning'!$J$23/12))</f>
        <v>1327638.7625701386</v>
      </c>
      <c r="E447" s="58">
        <f t="shared" ca="1" si="171"/>
        <v>2438.9317966139097</v>
      </c>
      <c r="F447" s="57">
        <f ca="1">IF(AND(OR(B447&gt;59.5,B447=59.5),B446&lt;59.5),(F446-G446+L446-M446+N446-O446)*(1+'Retirement Planning'!$J$23/12),(F446-G446)*(1+'Retirement Planning'!$J$23/12))</f>
        <v>407698.96265122568</v>
      </c>
      <c r="G447" s="58">
        <f ca="1">IF(AND($B$10&lt;55,B447&lt;59.5),'Retirement Planning'!$J$25,IF(OR(B447&gt;59.5,B447=59.5),MAX(0,MIN(F447,IF(D447&lt;2500,((Y447+AJ447+AA447))-X447,((Y447+AJ447+AA447)*'Retirement Planning'!$J$44)-X447))),0))</f>
        <v>18041.124710109802</v>
      </c>
      <c r="H447" s="255">
        <f ca="1">IF(MONTH(C447)=1,IF(B447&gt;69.5,F447/(INDEX('Retirement Planning'!D$1:D$264,(160+INT(B447))))/12,0),IF(F447=0,0,H446))</f>
        <v>7967.2188724741327</v>
      </c>
      <c r="I447" s="262">
        <f t="shared" ca="1" si="172"/>
        <v>0</v>
      </c>
      <c r="J447" s="254">
        <f ca="1">IF(AND(B446&lt;59.5,OR(B447=59.5,B447&gt;59.5)),0,(J446-K446)*(1+'Retirement Planning'!$J$23/12))</f>
        <v>0</v>
      </c>
      <c r="K447" s="58">
        <f t="shared" ca="1" si="173"/>
        <v>0</v>
      </c>
      <c r="L447" s="57">
        <f>IF(AND(OR(B447&gt;59.5,B447=59.5),B446&lt;59.5),0,(L446-M446)*(1+'Retirement Planning'!$J$23/12))</f>
        <v>0</v>
      </c>
      <c r="M447" s="59">
        <f>IF(AND($B$10&lt;55,B447&lt;59.5),0,IF(B447&lt;59.5,MAX(0,MIN((($Y447+$AJ447+AA447)*'Retirement Planning'!$J$44)-$G447-$X447,L447)),0))</f>
        <v>0</v>
      </c>
      <c r="N447" s="57">
        <f ca="1">(N446-O446)*(1+'Retirement Planning'!$J$23/12)</f>
        <v>0</v>
      </c>
      <c r="O447" s="59">
        <f ca="1">IF(B447&gt;59.5,MAX(0,MIN((AA447+$Y447+$AJ447)*(IF(D447&lt;(MIN(E435:E446)+1),1,'Retirement Planning'!$J$44))-M447-$G447-$X447-(IF(D447&lt;(MIN(E435:E446)+1),D447,0)),N447)),0)</f>
        <v>0</v>
      </c>
      <c r="P447" s="57">
        <f t="shared" si="183"/>
        <v>0</v>
      </c>
      <c r="Q447" s="58">
        <f t="shared" si="184"/>
        <v>0</v>
      </c>
      <c r="R447" s="57">
        <f ca="1">(R446-S446-T446)*(1+'Retirement Planning'!$J$23/12)</f>
        <v>2039532.2197031991</v>
      </c>
      <c r="S447" s="58">
        <f t="shared" ca="1" si="185"/>
        <v>808.33333333333337</v>
      </c>
      <c r="T447" s="273">
        <f t="shared" ca="1" si="174"/>
        <v>-3.4106051316484809E-12</v>
      </c>
      <c r="U447" s="57">
        <f ca="1">(U446-V446)*(1+'Retirement Planning'!$J$23/12)</f>
        <v>1076602.7720437313</v>
      </c>
      <c r="V447" s="24">
        <f ca="1">IF(AND($B$10&lt;55,B447&lt;59.5),MIN(U447,MAX(0,(Y447+AA447+AJ447-G447)*'Retirement Planning'!$J$45)),IF(B447&lt;59.5,(MIN(U447,MAX(0,((Y447+AA447+AJ447)-G447-M447)*'Retirement Planning'!$J$45))),MIN(U447,MAX(0,(Y447+AA447+AJ447-G447-M447-K447-X447)*'Retirement Planning'!$J$45))))</f>
        <v>2077.608567485921</v>
      </c>
      <c r="W447" s="7">
        <f t="shared" ca="1" si="175"/>
        <v>4851472.7169682942</v>
      </c>
      <c r="X447" s="7">
        <f>(IF(B447&gt;'Retirement Planning'!$J$34,IF('Retirement Planning'!$J$34=70,'Retirement Planning'!$J$37/12,IF('Retirement Planning'!$J$34=67,'Retirement Planning'!$J$36/12,'Retirement Planning'!$J$35/12)),0))*'Retirement Planning'!$J$38</f>
        <v>1213.6000000000001</v>
      </c>
      <c r="Y447" s="7">
        <f ca="1">'Retirement Planning'!$F$35*((1+'Retirement Planning'!$J$24)^(YEAR('Projected Retirement Drawdown'!C447)-YEAR(TODAY())))</f>
        <v>17912.153874091768</v>
      </c>
      <c r="Z447" s="7">
        <f ca="1">G447+M447+O447+0.85*X447+V447*'Retirement Planning'!$J$46+T447</f>
        <v>20215.369422227057</v>
      </c>
      <c r="AA447" s="7">
        <f ca="1">IF(MONTH(C447)=1,(((MIN(MAX(0,((SUM(Z435:Z446)-'Retirement Planning'!$I$53-'Retirement Planning'!$I$54)-'Retirement Planning'!$J$51)*'Retirement Planning'!$I$52))))+(MIN(MAX(0,((SUM(Z435:Z446)-'Retirement Planning'!$I$53-'Retirement Planning'!$I$54)-'Retirement Planning'!$J$50)*'Retirement Planning'!$I$51),('Retirement Planning'!$J$51-'Retirement Planning'!$J$50)*'Retirement Planning'!$I$51))+(MIN(MAX(0,((SUM(Z435:Z446)-'Retirement Planning'!$I$53-'Retirement Planning'!$I$54)-'Retirement Planning'!$J$49)*'Retirement Planning'!$I$50),('Retirement Planning'!$J$50-'Retirement Planning'!$J$49)*'Retirement Planning'!$I$50)+MIN(MAX(0,((SUM(Z435:Z446)-'Retirement Planning'!$I$53-'Retirement Planning'!$I$54)-'Retirement Planning'!$J$48)*'Retirement Planning'!$I$49),('Retirement Planning'!$J$49-'Retirement Planning'!$J$48)*'Retirement Planning'!$I$49)+MIN(((SUM(Z435:Z446)-'Retirement Planning'!$I$53-'Retirement Planning'!$I$54))*'Retirement Planning'!$I$48,('Retirement Planning'!$J$48)*'Retirement Planning'!$I$48))+(IF((SUM(Z435:Z446)-'Retirement Planning'!$I$54-'Retirement Planning'!$I$61)&gt;'Retirement Planning'!$J$59,(SUM(Z435:Z446)-'Retirement Planning'!$I$54-'Retirement Planning'!$I$61-'Retirement Planning'!$J$59)*'Retirement Planning'!$I$60+'Retirement Planning'!$K$59,IF((SUM(Z435:Z446)-'Retirement Planning'!$I$54-'Retirement Planning'!$I$61)&gt;'Retirement Planning'!$J$58,(SUM(Z435:Z446)-'Retirement Planning'!$I$54-'Retirement Planning'!$I$61-'Retirement Planning'!$J$58)*'Retirement Planning'!$I$59+'Retirement Planning'!$K$58,IF((SUM(Z435:Z446)-'Retirement Planning'!$I$54-'Retirement Planning'!$I$61)&gt;'Retirement Planning'!$J$57,(SUM(Z435:Z446)-'Retirement Planning'!$I$54-'Retirement Planning'!$I$61-'Retirement Planning'!$J$57)*'Retirement Planning'!$I$58+'Retirement Planning'!$K$57,IF((SUM(Z435:Z446)-'Retirement Planning'!$I$54-'Retirement Planning'!$I$61)&gt;'Retirement Planning'!$J$56,(SUM(Z435:Z446)-'Retirement Planning'!$I$54-'Retirement Planning'!$I$61-'Retirement Planning'!$J$56)*'Retirement Planning'!$I$57+'Retirement Planning'!$K$56,(SUM(Z435:Z446)-'Retirement Planning'!$I$54-'Retirement Planning'!$I$61)*'Retirement Planning'!$I$56))))))/12,AA446)</f>
        <v>5542.4445334511947</v>
      </c>
      <c r="AB447" s="104">
        <f t="shared" ca="1" si="193"/>
        <v>0.28479592282722271</v>
      </c>
      <c r="AC447" s="7">
        <f>IF(B447&lt;65,'Retirement Planning'!$J$28,0)</f>
        <v>0</v>
      </c>
      <c r="AD447" s="7">
        <f>IF(B447&lt;65,'Retirement Planning'!$J$29/12,0)</f>
        <v>0</v>
      </c>
      <c r="AE447" s="22">
        <f>'Retirement Planning'!$J$31/12</f>
        <v>58.333333333333336</v>
      </c>
      <c r="AF447" s="22">
        <f>'Retirement Planning'!$J$32/12</f>
        <v>66.666666666666671</v>
      </c>
      <c r="AG447" s="7">
        <f>IF($B447&gt;64.9,'Retirement Planning'!$J$39/12,0)</f>
        <v>183.33333333333334</v>
      </c>
      <c r="AH447" s="7">
        <f>IF($B447&gt;64.9,'Retirement Planning'!$J$40/12,0)</f>
        <v>258.33333333333331</v>
      </c>
      <c r="AI447" s="7">
        <f>IF($B447&gt;64.9,'Retirement Planning'!$J$41/12,0)</f>
        <v>558.33333333333337</v>
      </c>
      <c r="AJ447" s="7">
        <f t="shared" ca="1" si="176"/>
        <v>316.66666666666663</v>
      </c>
      <c r="AK447" s="3" t="str">
        <f t="shared" ca="1" si="190"/>
        <v>N/A</v>
      </c>
      <c r="AL447" s="6" t="str">
        <f t="shared" ca="1" si="191"/>
        <v>N/A</v>
      </c>
      <c r="AM447" s="7">
        <f t="shared" ca="1" si="177"/>
        <v>-6.8212102632969618E-13</v>
      </c>
      <c r="AN447" s="7">
        <f t="shared" ca="1" si="178"/>
        <v>24579.598407542962</v>
      </c>
      <c r="AO447" s="7">
        <f t="shared" si="179"/>
        <v>1125</v>
      </c>
    </row>
    <row r="448" spans="1:41" x14ac:dyDescent="0.2">
      <c r="A448">
        <f t="shared" si="180"/>
        <v>50</v>
      </c>
      <c r="B448" s="5">
        <f t="shared" si="181"/>
        <v>92.8</v>
      </c>
      <c r="C448" s="56">
        <f t="shared" si="182"/>
        <v>59749</v>
      </c>
      <c r="D448" s="57">
        <f ca="1">IF(AND(B447&lt;59.5,OR(B448&gt;59.5,B448=59.5)),(D447-E447+J447-K447)*(1+'Retirement Planning'!$J$23/12),(D447-E447)*(1+'Retirement Planning'!$J$23/12))</f>
        <v>1334586.6629081706</v>
      </c>
      <c r="E448" s="58">
        <f t="shared" ca="1" si="171"/>
        <v>2438.9317966139097</v>
      </c>
      <c r="F448" s="57">
        <f ca="1">IF(AND(OR(B448&gt;59.5,B448=59.5),B447&lt;59.5),(F447-G447+L447-M447+N447-O447)*(1+'Retirement Planning'!$J$23/12),(F447-G447)*(1+'Retirement Planning'!$J$23/12))</f>
        <v>392417.91429319879</v>
      </c>
      <c r="G448" s="58">
        <f ca="1">IF(AND($B$10&lt;55,B448&lt;59.5),'Retirement Planning'!$J$25,IF(OR(B448&gt;59.5,B448=59.5),MAX(0,MIN(F448,IF(D448&lt;2500,((Y448+AJ448+AA448))-X448,((Y448+AJ448+AA448)*'Retirement Planning'!$J$44)-X448))),0))</f>
        <v>18041.124710109802</v>
      </c>
      <c r="H448" s="255">
        <f ca="1">IF(MONTH(C448)=1,IF(B448&gt;69.5,F448/(INDEX('Retirement Planning'!D$1:D$264,(160+INT(B448))))/12,0),IF(F448=0,0,H447))</f>
        <v>7967.2188724741327</v>
      </c>
      <c r="I448" s="262">
        <f t="shared" ca="1" si="172"/>
        <v>0</v>
      </c>
      <c r="J448" s="254">
        <f ca="1">IF(AND(B447&lt;59.5,OR(B448=59.5,B448&gt;59.5)),0,(J447-K447)*(1+'Retirement Planning'!$J$23/12))</f>
        <v>0</v>
      </c>
      <c r="K448" s="58">
        <f t="shared" ca="1" si="173"/>
        <v>0</v>
      </c>
      <c r="L448" s="57">
        <f>IF(AND(OR(B448&gt;59.5,B448=59.5),B447&lt;59.5),0,(L447-M447)*(1+'Retirement Planning'!$J$23/12))</f>
        <v>0</v>
      </c>
      <c r="M448" s="59">
        <f>IF(AND($B$10&lt;55,B448&lt;59.5),0,IF(B448&lt;59.5,MAX(0,MIN((($Y448+$AJ448+AA448)*'Retirement Planning'!$J$44)-$G448-$X448,L448)),0))</f>
        <v>0</v>
      </c>
      <c r="N448" s="57">
        <f ca="1">(N447-O447)*(1+'Retirement Planning'!$J$23/12)</f>
        <v>0</v>
      </c>
      <c r="O448" s="59">
        <f ca="1">IF(B448&gt;59.5,MAX(0,MIN((AA448+$Y448+$AJ448)*(IF(D448&lt;(MIN(E436:E447)+1),1,'Retirement Planning'!$J$44))-M448-$G448-$X448-(IF(D448&lt;(MIN(E436:E447)+1),D448,0)),N448)),0)</f>
        <v>0</v>
      </c>
      <c r="P448" s="57">
        <f t="shared" si="183"/>
        <v>0</v>
      </c>
      <c r="Q448" s="58">
        <f t="shared" si="184"/>
        <v>0</v>
      </c>
      <c r="R448" s="57">
        <f ca="1">(R447-S447-T447)*(1+'Retirement Planning'!$J$23/12)</f>
        <v>2053164.8472316524</v>
      </c>
      <c r="S448" s="58">
        <f t="shared" ca="1" si="185"/>
        <v>808.33333333333337</v>
      </c>
      <c r="T448" s="273">
        <f t="shared" ca="1" si="174"/>
        <v>-3.4106051316484809E-12</v>
      </c>
      <c r="U448" s="57">
        <f ca="1">(U447-V447)*(1+'Retirement Planning'!$J$23/12)</f>
        <v>1082136.3833842021</v>
      </c>
      <c r="V448" s="24">
        <f ca="1">IF(AND($B$10&lt;55,B448&lt;59.5),MIN(U448,MAX(0,(Y448+AA448+AJ448-G448)*'Retirement Planning'!$J$45)),IF(B448&lt;59.5,(MIN(U448,MAX(0,((Y448+AA448+AJ448)-G448-M448)*'Retirement Planning'!$J$45))),MIN(U448,MAX(0,(Y448+AA448+AJ448-G448-M448-K448-X448)*'Retirement Planning'!$J$45))))</f>
        <v>2077.608567485921</v>
      </c>
      <c r="W448" s="7">
        <f t="shared" ca="1" si="175"/>
        <v>4862305.8078172244</v>
      </c>
      <c r="X448" s="7">
        <f>(IF(B448&gt;'Retirement Planning'!$J$34,IF('Retirement Planning'!$J$34=70,'Retirement Planning'!$J$37/12,IF('Retirement Planning'!$J$34=67,'Retirement Planning'!$J$36/12,'Retirement Planning'!$J$35/12)),0))*'Retirement Planning'!$J$38</f>
        <v>1213.6000000000001</v>
      </c>
      <c r="Y448" s="7">
        <f ca="1">'Retirement Planning'!$F$35*((1+'Retirement Planning'!$J$24)^(YEAR('Projected Retirement Drawdown'!C448)-YEAR(TODAY())))</f>
        <v>17912.153874091768</v>
      </c>
      <c r="Z448" s="7">
        <f ca="1">G448+M448+O448+0.85*X448+V448*'Retirement Planning'!$J$46+T448</f>
        <v>20215.369422227057</v>
      </c>
      <c r="AA448" s="7">
        <f ca="1">IF(MONTH(C448)=1,(((MIN(MAX(0,((SUM(Z436:Z447)-'Retirement Planning'!$I$53-'Retirement Planning'!$I$54)-'Retirement Planning'!$J$51)*'Retirement Planning'!$I$52))))+(MIN(MAX(0,((SUM(Z436:Z447)-'Retirement Planning'!$I$53-'Retirement Planning'!$I$54)-'Retirement Planning'!$J$50)*'Retirement Planning'!$I$51),('Retirement Planning'!$J$51-'Retirement Planning'!$J$50)*'Retirement Planning'!$I$51))+(MIN(MAX(0,((SUM(Z436:Z447)-'Retirement Planning'!$I$53-'Retirement Planning'!$I$54)-'Retirement Planning'!$J$49)*'Retirement Planning'!$I$50),('Retirement Planning'!$J$50-'Retirement Planning'!$J$49)*'Retirement Planning'!$I$50)+MIN(MAX(0,((SUM(Z436:Z447)-'Retirement Planning'!$I$53-'Retirement Planning'!$I$54)-'Retirement Planning'!$J$48)*'Retirement Planning'!$I$49),('Retirement Planning'!$J$49-'Retirement Planning'!$J$48)*'Retirement Planning'!$I$49)+MIN(((SUM(Z436:Z447)-'Retirement Planning'!$I$53-'Retirement Planning'!$I$54))*'Retirement Planning'!$I$48,('Retirement Planning'!$J$48)*'Retirement Planning'!$I$48))+(IF((SUM(Z436:Z447)-'Retirement Planning'!$I$54-'Retirement Planning'!$I$61)&gt;'Retirement Planning'!$J$59,(SUM(Z436:Z447)-'Retirement Planning'!$I$54-'Retirement Planning'!$I$61-'Retirement Planning'!$J$59)*'Retirement Planning'!$I$60+'Retirement Planning'!$K$59,IF((SUM(Z436:Z447)-'Retirement Planning'!$I$54-'Retirement Planning'!$I$61)&gt;'Retirement Planning'!$J$58,(SUM(Z436:Z447)-'Retirement Planning'!$I$54-'Retirement Planning'!$I$61-'Retirement Planning'!$J$58)*'Retirement Planning'!$I$59+'Retirement Planning'!$K$58,IF((SUM(Z436:Z447)-'Retirement Planning'!$I$54-'Retirement Planning'!$I$61)&gt;'Retirement Planning'!$J$57,(SUM(Z436:Z447)-'Retirement Planning'!$I$54-'Retirement Planning'!$I$61-'Retirement Planning'!$J$57)*'Retirement Planning'!$I$58+'Retirement Planning'!$K$57,IF((SUM(Z436:Z447)-'Retirement Planning'!$I$54-'Retirement Planning'!$I$61)&gt;'Retirement Planning'!$J$56,(SUM(Z436:Z447)-'Retirement Planning'!$I$54-'Retirement Planning'!$I$61-'Retirement Planning'!$J$56)*'Retirement Planning'!$I$57+'Retirement Planning'!$K$56,(SUM(Z436:Z447)-'Retirement Planning'!$I$54-'Retirement Planning'!$I$61)*'Retirement Planning'!$I$56))))))/12,AA447)</f>
        <v>5542.4445334511947</v>
      </c>
      <c r="AB448" s="104">
        <f t="shared" ca="1" si="193"/>
        <v>0.28479592282722271</v>
      </c>
      <c r="AC448" s="7">
        <f>IF(B448&lt;65,'Retirement Planning'!$J$28,0)</f>
        <v>0</v>
      </c>
      <c r="AD448" s="7">
        <f>IF(B448&lt;65,'Retirement Planning'!$J$29/12,0)</f>
        <v>0</v>
      </c>
      <c r="AE448" s="22">
        <f>'Retirement Planning'!$J$31/12</f>
        <v>58.333333333333336</v>
      </c>
      <c r="AF448" s="22">
        <f>'Retirement Planning'!$J$32/12</f>
        <v>66.666666666666671</v>
      </c>
      <c r="AG448" s="7">
        <f>IF($B448&gt;64.9,'Retirement Planning'!$J$39/12,0)</f>
        <v>183.33333333333334</v>
      </c>
      <c r="AH448" s="7">
        <f>IF($B448&gt;64.9,'Retirement Planning'!$J$40/12,0)</f>
        <v>258.33333333333331</v>
      </c>
      <c r="AI448" s="7">
        <f>IF($B448&gt;64.9,'Retirement Planning'!$J$41/12,0)</f>
        <v>558.33333333333337</v>
      </c>
      <c r="AJ448" s="7">
        <f t="shared" ca="1" si="176"/>
        <v>316.66666666666663</v>
      </c>
      <c r="AK448" s="3" t="str">
        <f t="shared" ca="1" si="190"/>
        <v>N/A</v>
      </c>
      <c r="AL448" s="6" t="str">
        <f t="shared" ca="1" si="191"/>
        <v>N/A</v>
      </c>
      <c r="AM448" s="7">
        <f t="shared" ca="1" si="177"/>
        <v>-6.8212102632969618E-13</v>
      </c>
      <c r="AN448" s="7">
        <f t="shared" ca="1" si="178"/>
        <v>24579.598407542962</v>
      </c>
      <c r="AO448" s="7">
        <f t="shared" si="179"/>
        <v>1125</v>
      </c>
    </row>
    <row r="449" spans="1:41" x14ac:dyDescent="0.2">
      <c r="A449">
        <f t="shared" si="180"/>
        <v>50</v>
      </c>
      <c r="B449" s="5">
        <f t="shared" si="181"/>
        <v>92.9</v>
      </c>
      <c r="C449" s="56">
        <f t="shared" si="182"/>
        <v>59780</v>
      </c>
      <c r="D449" s="57">
        <f ca="1">IF(AND(B448&lt;59.5,OR(B449&gt;59.5,B449=59.5)),(D448-E448+J448-K448)*(1+'Retirement Planning'!$J$23/12),(D448-E448)*(1+'Retirement Planning'!$J$23/12))</f>
        <v>1341583.7775402637</v>
      </c>
      <c r="E449" s="58">
        <f t="shared" ca="1" si="171"/>
        <v>2438.9317966139097</v>
      </c>
      <c r="F449" s="57">
        <f ca="1">IF(AND(OR(B449&gt;59.5,B449=59.5),B448&lt;59.5),(F448-G448+L448-M448+N448-O448)*(1+'Retirement Planning'!$J$23/12),(F448-G448)*(1+'Retirement Planning'!$J$23/12))</f>
        <v>377028.62517596921</v>
      </c>
      <c r="G449" s="58">
        <f ca="1">IF(AND($B$10&lt;55,B449&lt;59.5),'Retirement Planning'!$J$25,IF(OR(B449&gt;59.5,B449=59.5),MAX(0,MIN(F449,IF(D449&lt;2500,((Y449+AJ449+AA449))-X449,((Y449+AJ449+AA449)*'Retirement Planning'!$J$44)-X449))),0))</f>
        <v>18041.124710109802</v>
      </c>
      <c r="H449" s="255">
        <f ca="1">IF(MONTH(C449)=1,IF(B449&gt;69.5,F449/(INDEX('Retirement Planning'!D$1:D$264,(160+INT(B449))))/12,0),IF(F449=0,0,H448))</f>
        <v>7967.2188724741327</v>
      </c>
      <c r="I449" s="262">
        <f t="shared" ca="1" si="172"/>
        <v>0</v>
      </c>
      <c r="J449" s="254">
        <f ca="1">IF(AND(B448&lt;59.5,OR(B449=59.5,B449&gt;59.5)),0,(J448-K448)*(1+'Retirement Planning'!$J$23/12))</f>
        <v>0</v>
      </c>
      <c r="K449" s="58">
        <f t="shared" ca="1" si="173"/>
        <v>0</v>
      </c>
      <c r="L449" s="57">
        <f>IF(AND(OR(B449&gt;59.5,B449=59.5),B448&lt;59.5),0,(L448-M448)*(1+'Retirement Planning'!$J$23/12))</f>
        <v>0</v>
      </c>
      <c r="M449" s="59">
        <f>IF(AND($B$10&lt;55,B449&lt;59.5),0,IF(B449&lt;59.5,MAX(0,MIN((($Y449+$AJ449+AA449)*'Retirement Planning'!$J$44)-$G449-$X449,L449)),0))</f>
        <v>0</v>
      </c>
      <c r="N449" s="57">
        <f ca="1">(N448-O448)*(1+'Retirement Planning'!$J$23/12)</f>
        <v>0</v>
      </c>
      <c r="O449" s="59">
        <f ca="1">IF(B449&gt;59.5,MAX(0,MIN((AA449+$Y449+$AJ449)*(IF(D449&lt;(MIN(E437:E448)+1),1,'Retirement Planning'!$J$44))-M449-$G449-$X449-(IF(D449&lt;(MIN(E437:E448)+1),D449,0)),N449)),0)</f>
        <v>0</v>
      </c>
      <c r="P449" s="57">
        <f t="shared" si="183"/>
        <v>0</v>
      </c>
      <c r="Q449" s="58">
        <f t="shared" si="184"/>
        <v>0</v>
      </c>
      <c r="R449" s="57">
        <f ca="1">(R448-S448-T448)*(1+'Retirement Planning'!$J$23/12)</f>
        <v>2066894.0392050988</v>
      </c>
      <c r="S449" s="58">
        <f t="shared" ca="1" si="185"/>
        <v>808.33333333333337</v>
      </c>
      <c r="T449" s="273">
        <f t="shared" ca="1" si="174"/>
        <v>-3.4106051316484809E-12</v>
      </c>
      <c r="U449" s="57">
        <f ca="1">(U448-V448)*(1+'Retirement Planning'!$J$23/12)</f>
        <v>1087709.1911383348</v>
      </c>
      <c r="V449" s="24">
        <f ca="1">IF(AND($B$10&lt;55,B449&lt;59.5),MIN(U449,MAX(0,(Y449+AA449+AJ449-G449)*'Retirement Planning'!$J$45)),IF(B449&lt;59.5,(MIN(U449,MAX(0,((Y449+AA449+AJ449)-G449-M449)*'Retirement Planning'!$J$45))),MIN(U449,MAX(0,(Y449+AA449+AJ449-G449-M449-K449-X449)*'Retirement Planning'!$J$45))))</f>
        <v>2077.608567485921</v>
      </c>
      <c r="W449" s="7">
        <f t="shared" ca="1" si="175"/>
        <v>4873215.6330596665</v>
      </c>
      <c r="X449" s="7">
        <f>(IF(B449&gt;'Retirement Planning'!$J$34,IF('Retirement Planning'!$J$34=70,'Retirement Planning'!$J$37/12,IF('Retirement Planning'!$J$34=67,'Retirement Planning'!$J$36/12,'Retirement Planning'!$J$35/12)),0))*'Retirement Planning'!$J$38</f>
        <v>1213.6000000000001</v>
      </c>
      <c r="Y449" s="7">
        <f ca="1">'Retirement Planning'!$F$35*((1+'Retirement Planning'!$J$24)^(YEAR('Projected Retirement Drawdown'!C449)-YEAR(TODAY())))</f>
        <v>17912.153874091768</v>
      </c>
      <c r="Z449" s="7">
        <f ca="1">G449+M449+O449+0.85*X449+V449*'Retirement Planning'!$J$46+T449</f>
        <v>20215.369422227057</v>
      </c>
      <c r="AA449" s="7">
        <f ca="1">IF(MONTH(C449)=1,(((MIN(MAX(0,((SUM(Z437:Z448)-'Retirement Planning'!$I$53-'Retirement Planning'!$I$54)-'Retirement Planning'!$J$51)*'Retirement Planning'!$I$52))))+(MIN(MAX(0,((SUM(Z437:Z448)-'Retirement Planning'!$I$53-'Retirement Planning'!$I$54)-'Retirement Planning'!$J$50)*'Retirement Planning'!$I$51),('Retirement Planning'!$J$51-'Retirement Planning'!$J$50)*'Retirement Planning'!$I$51))+(MIN(MAX(0,((SUM(Z437:Z448)-'Retirement Planning'!$I$53-'Retirement Planning'!$I$54)-'Retirement Planning'!$J$49)*'Retirement Planning'!$I$50),('Retirement Planning'!$J$50-'Retirement Planning'!$J$49)*'Retirement Planning'!$I$50)+MIN(MAX(0,((SUM(Z437:Z448)-'Retirement Planning'!$I$53-'Retirement Planning'!$I$54)-'Retirement Planning'!$J$48)*'Retirement Planning'!$I$49),('Retirement Planning'!$J$49-'Retirement Planning'!$J$48)*'Retirement Planning'!$I$49)+MIN(((SUM(Z437:Z448)-'Retirement Planning'!$I$53-'Retirement Planning'!$I$54))*'Retirement Planning'!$I$48,('Retirement Planning'!$J$48)*'Retirement Planning'!$I$48))+(IF((SUM(Z437:Z448)-'Retirement Planning'!$I$54-'Retirement Planning'!$I$61)&gt;'Retirement Planning'!$J$59,(SUM(Z437:Z448)-'Retirement Planning'!$I$54-'Retirement Planning'!$I$61-'Retirement Planning'!$J$59)*'Retirement Planning'!$I$60+'Retirement Planning'!$K$59,IF((SUM(Z437:Z448)-'Retirement Planning'!$I$54-'Retirement Planning'!$I$61)&gt;'Retirement Planning'!$J$58,(SUM(Z437:Z448)-'Retirement Planning'!$I$54-'Retirement Planning'!$I$61-'Retirement Planning'!$J$58)*'Retirement Planning'!$I$59+'Retirement Planning'!$K$58,IF((SUM(Z437:Z448)-'Retirement Planning'!$I$54-'Retirement Planning'!$I$61)&gt;'Retirement Planning'!$J$57,(SUM(Z437:Z448)-'Retirement Planning'!$I$54-'Retirement Planning'!$I$61-'Retirement Planning'!$J$57)*'Retirement Planning'!$I$58+'Retirement Planning'!$K$57,IF((SUM(Z437:Z448)-'Retirement Planning'!$I$54-'Retirement Planning'!$I$61)&gt;'Retirement Planning'!$J$56,(SUM(Z437:Z448)-'Retirement Planning'!$I$54-'Retirement Planning'!$I$61-'Retirement Planning'!$J$56)*'Retirement Planning'!$I$57+'Retirement Planning'!$K$56,(SUM(Z437:Z448)-'Retirement Planning'!$I$54-'Retirement Planning'!$I$61)*'Retirement Planning'!$I$56))))))/12,AA448)</f>
        <v>5542.4445334511947</v>
      </c>
      <c r="AB449" s="104">
        <f t="shared" ca="1" si="193"/>
        <v>0.28479592282722271</v>
      </c>
      <c r="AC449" s="7">
        <f>IF(B449&lt;65,'Retirement Planning'!$J$28,0)</f>
        <v>0</v>
      </c>
      <c r="AD449" s="7">
        <f>IF(B449&lt;65,'Retirement Planning'!$J$29/12,0)</f>
        <v>0</v>
      </c>
      <c r="AE449" s="22">
        <f>'Retirement Planning'!$J$31/12</f>
        <v>58.333333333333336</v>
      </c>
      <c r="AF449" s="22">
        <f>'Retirement Planning'!$J$32/12</f>
        <v>66.666666666666671</v>
      </c>
      <c r="AG449" s="7">
        <f>IF($B449&gt;64.9,'Retirement Planning'!$J$39/12,0)</f>
        <v>183.33333333333334</v>
      </c>
      <c r="AH449" s="7">
        <f>IF($B449&gt;64.9,'Retirement Planning'!$J$40/12,0)</f>
        <v>258.33333333333331</v>
      </c>
      <c r="AI449" s="7">
        <f>IF($B449&gt;64.9,'Retirement Planning'!$J$41/12,0)</f>
        <v>558.33333333333337</v>
      </c>
      <c r="AJ449" s="7">
        <f t="shared" ca="1" si="176"/>
        <v>316.66666666666663</v>
      </c>
      <c r="AK449" s="3" t="str">
        <f t="shared" ca="1" si="190"/>
        <v>N/A</v>
      </c>
      <c r="AL449" s="6" t="str">
        <f t="shared" ca="1" si="191"/>
        <v>N/A</v>
      </c>
      <c r="AM449" s="7">
        <f t="shared" ca="1" si="177"/>
        <v>-6.8212102632969618E-13</v>
      </c>
      <c r="AN449" s="7">
        <f t="shared" ca="1" si="178"/>
        <v>24579.598407542962</v>
      </c>
      <c r="AO449" s="7">
        <f t="shared" si="179"/>
        <v>1125</v>
      </c>
    </row>
    <row r="450" spans="1:41" x14ac:dyDescent="0.2">
      <c r="A450">
        <f t="shared" si="180"/>
        <v>50</v>
      </c>
      <c r="B450" s="5">
        <f t="shared" si="181"/>
        <v>93</v>
      </c>
      <c r="C450" s="56">
        <f t="shared" si="182"/>
        <v>59810</v>
      </c>
      <c r="D450" s="57">
        <f ca="1">IF(AND(B449&lt;59.5,OR(B450&gt;59.5,B450=59.5)),(D449-E449+J449-K449)*(1+'Retirement Planning'!$J$23/12),(D449-E449)*(1+'Retirement Planning'!$J$23/12))</f>
        <v>1348630.4550676674</v>
      </c>
      <c r="E450" s="58">
        <f t="shared" ca="1" si="171"/>
        <v>2438.9317966139097</v>
      </c>
      <c r="F450" s="57">
        <f ca="1">IF(AND(OR(B450&gt;59.5,B450=59.5),B449&lt;59.5),(F449-G449+L449-M449+N449-O449)*(1+'Retirement Planning'!$J$23/12),(F449-G449)*(1+'Retirement Planning'!$J$23/12))</f>
        <v>361530.32859415928</v>
      </c>
      <c r="G450" s="58">
        <f ca="1">IF(AND($B$10&lt;55,B450&lt;59.5),'Retirement Planning'!$J$25,IF(OR(B450&gt;59.5,B450=59.5),MAX(0,MIN(F450,IF(D450&lt;2500,((Y450+AJ450+AA450))-X450,((Y450+AJ450+AA450)*'Retirement Planning'!$J$44)-X450))),0))</f>
        <v>18041.124710109802</v>
      </c>
      <c r="H450" s="255">
        <f ca="1">IF(MONTH(C450)=1,IF(B450&gt;69.5,F450/(INDEX('Retirement Planning'!D$1:D$264,(160+INT(B450))))/12,0),IF(F450=0,0,H449))</f>
        <v>7967.2188724741327</v>
      </c>
      <c r="I450" s="262">
        <f t="shared" ca="1" si="172"/>
        <v>0</v>
      </c>
      <c r="J450" s="254">
        <f ca="1">IF(AND(B449&lt;59.5,OR(B450=59.5,B450&gt;59.5)),0,(J449-K449)*(1+'Retirement Planning'!$J$23/12))</f>
        <v>0</v>
      </c>
      <c r="K450" s="58">
        <f t="shared" ca="1" si="173"/>
        <v>0</v>
      </c>
      <c r="L450" s="57">
        <f>IF(AND(OR(B450&gt;59.5,B450=59.5),B449&lt;59.5),0,(L449-M449)*(1+'Retirement Planning'!$J$23/12))</f>
        <v>0</v>
      </c>
      <c r="M450" s="59">
        <f>IF(AND($B$10&lt;55,B450&lt;59.5),0,IF(B450&lt;59.5,MAX(0,MIN((($Y450+$AJ450+AA450)*'Retirement Planning'!$J$44)-$G450-$X450,L450)),0))</f>
        <v>0</v>
      </c>
      <c r="N450" s="57">
        <f ca="1">(N449-O449)*(1+'Retirement Planning'!$J$23/12)</f>
        <v>0</v>
      </c>
      <c r="O450" s="59">
        <f ca="1">IF(B450&gt;59.5,MAX(0,MIN((AA450+$Y450+$AJ450)*(IF(D450&lt;(MIN(E438:E449)+1),1,'Retirement Planning'!$J$44))-M450-$G450-$X450-(IF(D450&lt;(MIN(E438:E449)+1),D450,0)),N450)),0)</f>
        <v>0</v>
      </c>
      <c r="P450" s="57">
        <f t="shared" si="183"/>
        <v>0</v>
      </c>
      <c r="Q450" s="58">
        <f t="shared" si="184"/>
        <v>0</v>
      </c>
      <c r="R450" s="57">
        <f ca="1">(R449-S449-T449)*(1+'Retirement Planning'!$J$23/12)</f>
        <v>2080720.4796216905</v>
      </c>
      <c r="S450" s="58">
        <f t="shared" ca="1" si="185"/>
        <v>808.33333333333337</v>
      </c>
      <c r="T450" s="273">
        <f t="shared" ca="1" si="174"/>
        <v>-3.4106051316484809E-12</v>
      </c>
      <c r="U450" s="57">
        <f ca="1">(U449-V449)*(1+'Retirement Planning'!$J$23/12)</f>
        <v>1093321.4729473926</v>
      </c>
      <c r="V450" s="24">
        <f ca="1">IF(AND($B$10&lt;55,B450&lt;59.5),MIN(U450,MAX(0,(Y450+AA450+AJ450-G450)*'Retirement Planning'!$J$45)),IF(B450&lt;59.5,(MIN(U450,MAX(0,((Y450+AA450+AJ450)-G450-M450)*'Retirement Planning'!$J$45))),MIN(U450,MAX(0,(Y450+AA450+AJ450-G450-M450-K450-X450)*'Retirement Planning'!$J$45))))</f>
        <v>2077.608567485921</v>
      </c>
      <c r="W450" s="7">
        <f t="shared" ca="1" si="175"/>
        <v>4884202.7362309098</v>
      </c>
      <c r="X450" s="7">
        <f>(IF(B450&gt;'Retirement Planning'!$J$34,IF('Retirement Planning'!$J$34=70,'Retirement Planning'!$J$37/12,IF('Retirement Planning'!$J$34=67,'Retirement Planning'!$J$36/12,'Retirement Planning'!$J$35/12)),0))*'Retirement Planning'!$J$38</f>
        <v>1213.6000000000001</v>
      </c>
      <c r="Y450" s="7">
        <f ca="1">'Retirement Planning'!$F$35*((1+'Retirement Planning'!$J$24)^(YEAR('Projected Retirement Drawdown'!C450)-YEAR(TODAY())))</f>
        <v>17912.153874091768</v>
      </c>
      <c r="Z450" s="7">
        <f ca="1">G450+M450+O450+0.85*X450+V450*'Retirement Planning'!$J$46+T450</f>
        <v>20215.369422227057</v>
      </c>
      <c r="AA450" s="7">
        <f ca="1">IF(MONTH(C450)=1,(((MIN(MAX(0,((SUM(Z438:Z449)-'Retirement Planning'!$I$53-'Retirement Planning'!$I$54)-'Retirement Planning'!$J$51)*'Retirement Planning'!$I$52))))+(MIN(MAX(0,((SUM(Z438:Z449)-'Retirement Planning'!$I$53-'Retirement Planning'!$I$54)-'Retirement Planning'!$J$50)*'Retirement Planning'!$I$51),('Retirement Planning'!$J$51-'Retirement Planning'!$J$50)*'Retirement Planning'!$I$51))+(MIN(MAX(0,((SUM(Z438:Z449)-'Retirement Planning'!$I$53-'Retirement Planning'!$I$54)-'Retirement Planning'!$J$49)*'Retirement Planning'!$I$50),('Retirement Planning'!$J$50-'Retirement Planning'!$J$49)*'Retirement Planning'!$I$50)+MIN(MAX(0,((SUM(Z438:Z449)-'Retirement Planning'!$I$53-'Retirement Planning'!$I$54)-'Retirement Planning'!$J$48)*'Retirement Planning'!$I$49),('Retirement Planning'!$J$49-'Retirement Planning'!$J$48)*'Retirement Planning'!$I$49)+MIN(((SUM(Z438:Z449)-'Retirement Planning'!$I$53-'Retirement Planning'!$I$54))*'Retirement Planning'!$I$48,('Retirement Planning'!$J$48)*'Retirement Planning'!$I$48))+(IF((SUM(Z438:Z449)-'Retirement Planning'!$I$54-'Retirement Planning'!$I$61)&gt;'Retirement Planning'!$J$59,(SUM(Z438:Z449)-'Retirement Planning'!$I$54-'Retirement Planning'!$I$61-'Retirement Planning'!$J$59)*'Retirement Planning'!$I$60+'Retirement Planning'!$K$59,IF((SUM(Z438:Z449)-'Retirement Planning'!$I$54-'Retirement Planning'!$I$61)&gt;'Retirement Planning'!$J$58,(SUM(Z438:Z449)-'Retirement Planning'!$I$54-'Retirement Planning'!$I$61-'Retirement Planning'!$J$58)*'Retirement Planning'!$I$59+'Retirement Planning'!$K$58,IF((SUM(Z438:Z449)-'Retirement Planning'!$I$54-'Retirement Planning'!$I$61)&gt;'Retirement Planning'!$J$57,(SUM(Z438:Z449)-'Retirement Planning'!$I$54-'Retirement Planning'!$I$61-'Retirement Planning'!$J$57)*'Retirement Planning'!$I$58+'Retirement Planning'!$K$57,IF((SUM(Z438:Z449)-'Retirement Planning'!$I$54-'Retirement Planning'!$I$61)&gt;'Retirement Planning'!$J$56,(SUM(Z438:Z449)-'Retirement Planning'!$I$54-'Retirement Planning'!$I$61-'Retirement Planning'!$J$56)*'Retirement Planning'!$I$57+'Retirement Planning'!$K$56,(SUM(Z438:Z449)-'Retirement Planning'!$I$54-'Retirement Planning'!$I$61)*'Retirement Planning'!$I$56))))))/12,AA449)</f>
        <v>5542.4445334511947</v>
      </c>
      <c r="AB450" s="104">
        <f t="shared" ca="1" si="193"/>
        <v>0.28479592282722271</v>
      </c>
      <c r="AC450" s="7">
        <f>IF(B450&lt;65,'Retirement Planning'!$J$28,0)</f>
        <v>0</v>
      </c>
      <c r="AD450" s="7">
        <f>IF(B450&lt;65,'Retirement Planning'!$J$29/12,0)</f>
        <v>0</v>
      </c>
      <c r="AE450" s="22">
        <f>'Retirement Planning'!$J$31/12</f>
        <v>58.333333333333336</v>
      </c>
      <c r="AF450" s="22">
        <f>'Retirement Planning'!$J$32/12</f>
        <v>66.666666666666671</v>
      </c>
      <c r="AG450" s="7">
        <f>IF($B450&gt;64.9,'Retirement Planning'!$J$39/12,0)</f>
        <v>183.33333333333334</v>
      </c>
      <c r="AH450" s="7">
        <f>IF($B450&gt;64.9,'Retirement Planning'!$J$40/12,0)</f>
        <v>258.33333333333331</v>
      </c>
      <c r="AI450" s="7">
        <f>IF($B450&gt;64.9,'Retirement Planning'!$J$41/12,0)</f>
        <v>558.33333333333337</v>
      </c>
      <c r="AJ450" s="7">
        <f t="shared" ca="1" si="176"/>
        <v>316.66666666666663</v>
      </c>
      <c r="AK450" s="3" t="str">
        <f t="shared" ca="1" si="190"/>
        <v>N/A</v>
      </c>
      <c r="AL450" s="6" t="str">
        <f t="shared" ca="1" si="191"/>
        <v>N/A</v>
      </c>
      <c r="AM450" s="7">
        <f t="shared" ca="1" si="177"/>
        <v>-6.8212102632969618E-13</v>
      </c>
      <c r="AN450" s="7">
        <f t="shared" ca="1" si="178"/>
        <v>24579.598407542962</v>
      </c>
      <c r="AO450" s="7">
        <f t="shared" si="179"/>
        <v>1125</v>
      </c>
    </row>
    <row r="451" spans="1:41" x14ac:dyDescent="0.2">
      <c r="A451">
        <f t="shared" si="180"/>
        <v>50</v>
      </c>
      <c r="B451" s="5">
        <f t="shared" si="181"/>
        <v>93</v>
      </c>
      <c r="C451" s="56">
        <f t="shared" si="182"/>
        <v>59841</v>
      </c>
      <c r="D451" s="57">
        <f ca="1">IF(AND(B450&lt;59.5,OR(B451&gt;59.5,B451=59.5)),(D450-E450+J450-K450)*(1+'Retirement Planning'!$J$23/12),(D450-E450)*(1+'Retirement Planning'!$J$23/12))</f>
        <v>1355727.0465608903</v>
      </c>
      <c r="E451" s="58">
        <f t="shared" ca="1" si="171"/>
        <v>2438.9317966139097</v>
      </c>
      <c r="F451" s="57">
        <f ca="1">IF(AND(OR(B451&gt;59.5,B451=59.5),B450&lt;59.5),(F450-G450+L450-M450+N450-O450)*(1+'Retirement Planning'!$J$23/12),(F450-G450)*(1+'Retirement Planning'!$J$23/12))</f>
        <v>345922.25241156149</v>
      </c>
      <c r="G451" s="58">
        <f ca="1">IF(AND($B$10&lt;55,B451&lt;59.5),'Retirement Planning'!$J$25,IF(OR(B451&gt;59.5,B451=59.5),MAX(0,MIN(F451,IF(D451&lt;2500,((Y451+AJ451+AA451))-X451,((Y451+AJ451+AA451)*'Retirement Planning'!$J$44)-X451))),0))</f>
        <v>18041.124710109802</v>
      </c>
      <c r="H451" s="255">
        <f ca="1">IF(MONTH(C451)=1,IF(B451&gt;69.5,F451/(INDEX('Retirement Planning'!D$1:D$264,(160+INT(B451))))/12,0),IF(F451=0,0,H450))</f>
        <v>7967.2188724741327</v>
      </c>
      <c r="I451" s="262">
        <f t="shared" ca="1" si="172"/>
        <v>0</v>
      </c>
      <c r="J451" s="254">
        <f ca="1">IF(AND(B450&lt;59.5,OR(B451=59.5,B451&gt;59.5)),0,(J450-K450)*(1+'Retirement Planning'!$J$23/12))</f>
        <v>0</v>
      </c>
      <c r="K451" s="58">
        <f t="shared" ca="1" si="173"/>
        <v>0</v>
      </c>
      <c r="L451" s="57">
        <f>IF(AND(OR(B451&gt;59.5,B451=59.5),B450&lt;59.5),0,(L450-M450)*(1+'Retirement Planning'!$J$23/12))</f>
        <v>0</v>
      </c>
      <c r="M451" s="59">
        <f>IF(AND($B$10&lt;55,B451&lt;59.5),0,IF(B451&lt;59.5,MAX(0,MIN((($Y451+$AJ451+AA451)*'Retirement Planning'!$J$44)-$G451-$X451,L451)),0))</f>
        <v>0</v>
      </c>
      <c r="N451" s="57">
        <f ca="1">(N450-O450)*(1+'Retirement Planning'!$J$23/12)</f>
        <v>0</v>
      </c>
      <c r="O451" s="59">
        <f ca="1">IF(B451&gt;59.5,MAX(0,MIN((AA451+$Y451+$AJ451)*(IF(D451&lt;(MIN(E439:E450)+1),1,'Retirement Planning'!$J$44))-M451-$G451-$X451-(IF(D451&lt;(MIN(E439:E450)+1),D451,0)),N451)),0)</f>
        <v>0</v>
      </c>
      <c r="P451" s="57">
        <f t="shared" si="183"/>
        <v>0</v>
      </c>
      <c r="Q451" s="58">
        <f t="shared" si="184"/>
        <v>0</v>
      </c>
      <c r="R451" s="57">
        <f ca="1">(R450-S450-T450)*(1+'Retirement Planning'!$J$23/12)</f>
        <v>2094644.8573245665</v>
      </c>
      <c r="S451" s="58">
        <f t="shared" ca="1" si="185"/>
        <v>808.33333333333337</v>
      </c>
      <c r="T451" s="273">
        <f t="shared" ca="1" si="174"/>
        <v>-3.4106051316484809E-12</v>
      </c>
      <c r="U451" s="57">
        <f ca="1">(U450-V450)*(1+'Retirement Planning'!$J$23/12)</f>
        <v>1098973.5084192646</v>
      </c>
      <c r="V451" s="24">
        <f ca="1">IF(AND($B$10&lt;55,B451&lt;59.5),MIN(U451,MAX(0,(Y451+AA451+AJ451-G451)*'Retirement Planning'!$J$45)),IF(B451&lt;59.5,(MIN(U451,MAX(0,((Y451+AA451+AJ451)-G451-M451)*'Retirement Planning'!$J$45))),MIN(U451,MAX(0,(Y451+AA451+AJ451-G451-M451-K451-X451)*'Retirement Planning'!$J$45))))</f>
        <v>2077.608567485921</v>
      </c>
      <c r="W451" s="7">
        <f t="shared" ca="1" si="175"/>
        <v>4895267.6647162829</v>
      </c>
      <c r="X451" s="7">
        <f>(IF(B451&gt;'Retirement Planning'!$J$34,IF('Retirement Planning'!$J$34=70,'Retirement Planning'!$J$37/12,IF('Retirement Planning'!$J$34=67,'Retirement Planning'!$J$36/12,'Retirement Planning'!$J$35/12)),0))*'Retirement Planning'!$J$38</f>
        <v>1213.6000000000001</v>
      </c>
      <c r="Y451" s="7">
        <f ca="1">'Retirement Planning'!$F$35*((1+'Retirement Planning'!$J$24)^(YEAR('Projected Retirement Drawdown'!C451)-YEAR(TODAY())))</f>
        <v>17912.153874091768</v>
      </c>
      <c r="Z451" s="7">
        <f ca="1">G451+M451+O451+0.85*X451+V451*'Retirement Planning'!$J$46+T451</f>
        <v>20215.369422227057</v>
      </c>
      <c r="AA451" s="7">
        <f ca="1">IF(MONTH(C451)=1,(((MIN(MAX(0,((SUM(Z439:Z450)-'Retirement Planning'!$I$53-'Retirement Planning'!$I$54)-'Retirement Planning'!$J$51)*'Retirement Planning'!$I$52))))+(MIN(MAX(0,((SUM(Z439:Z450)-'Retirement Planning'!$I$53-'Retirement Planning'!$I$54)-'Retirement Planning'!$J$50)*'Retirement Planning'!$I$51),('Retirement Planning'!$J$51-'Retirement Planning'!$J$50)*'Retirement Planning'!$I$51))+(MIN(MAX(0,((SUM(Z439:Z450)-'Retirement Planning'!$I$53-'Retirement Planning'!$I$54)-'Retirement Planning'!$J$49)*'Retirement Planning'!$I$50),('Retirement Planning'!$J$50-'Retirement Planning'!$J$49)*'Retirement Planning'!$I$50)+MIN(MAX(0,((SUM(Z439:Z450)-'Retirement Planning'!$I$53-'Retirement Planning'!$I$54)-'Retirement Planning'!$J$48)*'Retirement Planning'!$I$49),('Retirement Planning'!$J$49-'Retirement Planning'!$J$48)*'Retirement Planning'!$I$49)+MIN(((SUM(Z439:Z450)-'Retirement Planning'!$I$53-'Retirement Planning'!$I$54))*'Retirement Planning'!$I$48,('Retirement Planning'!$J$48)*'Retirement Planning'!$I$48))+(IF((SUM(Z439:Z450)-'Retirement Planning'!$I$54-'Retirement Planning'!$I$61)&gt;'Retirement Planning'!$J$59,(SUM(Z439:Z450)-'Retirement Planning'!$I$54-'Retirement Planning'!$I$61-'Retirement Planning'!$J$59)*'Retirement Planning'!$I$60+'Retirement Planning'!$K$59,IF((SUM(Z439:Z450)-'Retirement Planning'!$I$54-'Retirement Planning'!$I$61)&gt;'Retirement Planning'!$J$58,(SUM(Z439:Z450)-'Retirement Planning'!$I$54-'Retirement Planning'!$I$61-'Retirement Planning'!$J$58)*'Retirement Planning'!$I$59+'Retirement Planning'!$K$58,IF((SUM(Z439:Z450)-'Retirement Planning'!$I$54-'Retirement Planning'!$I$61)&gt;'Retirement Planning'!$J$57,(SUM(Z439:Z450)-'Retirement Planning'!$I$54-'Retirement Planning'!$I$61-'Retirement Planning'!$J$57)*'Retirement Planning'!$I$58+'Retirement Planning'!$K$57,IF((SUM(Z439:Z450)-'Retirement Planning'!$I$54-'Retirement Planning'!$I$61)&gt;'Retirement Planning'!$J$56,(SUM(Z439:Z450)-'Retirement Planning'!$I$54-'Retirement Planning'!$I$61-'Retirement Planning'!$J$56)*'Retirement Planning'!$I$57+'Retirement Planning'!$K$56,(SUM(Z439:Z450)-'Retirement Planning'!$I$54-'Retirement Planning'!$I$61)*'Retirement Planning'!$I$56))))))/12,AA450)</f>
        <v>5542.4445334511947</v>
      </c>
      <c r="AB451" s="104">
        <f t="shared" ca="1" si="193"/>
        <v>0.28479592282722271</v>
      </c>
      <c r="AC451" s="7">
        <f>IF(B451&lt;65,'Retirement Planning'!$J$28,0)</f>
        <v>0</v>
      </c>
      <c r="AD451" s="7">
        <f>IF(B451&lt;65,'Retirement Planning'!$J$29/12,0)</f>
        <v>0</v>
      </c>
      <c r="AE451" s="22">
        <f>'Retirement Planning'!$J$31/12</f>
        <v>58.333333333333336</v>
      </c>
      <c r="AF451" s="22">
        <f>'Retirement Planning'!$J$32/12</f>
        <v>66.666666666666671</v>
      </c>
      <c r="AG451" s="7">
        <f>IF($B451&gt;64.9,'Retirement Planning'!$J$39/12,0)</f>
        <v>183.33333333333334</v>
      </c>
      <c r="AH451" s="7">
        <f>IF($B451&gt;64.9,'Retirement Planning'!$J$40/12,0)</f>
        <v>258.33333333333331</v>
      </c>
      <c r="AI451" s="7">
        <f>IF($B451&gt;64.9,'Retirement Planning'!$J$41/12,0)</f>
        <v>558.33333333333337</v>
      </c>
      <c r="AJ451" s="7">
        <f t="shared" ca="1" si="176"/>
        <v>316.66666666666663</v>
      </c>
      <c r="AK451" s="3" t="str">
        <f t="shared" ca="1" si="190"/>
        <v>N/A</v>
      </c>
      <c r="AL451" s="6" t="str">
        <f t="shared" ca="1" si="191"/>
        <v>N/A</v>
      </c>
      <c r="AM451" s="7">
        <f t="shared" ca="1" si="177"/>
        <v>-6.8212102632969618E-13</v>
      </c>
      <c r="AN451" s="7">
        <f t="shared" ca="1" si="178"/>
        <v>24579.598407542962</v>
      </c>
      <c r="AO451" s="7">
        <f t="shared" si="179"/>
        <v>1125</v>
      </c>
    </row>
    <row r="452" spans="1:41" x14ac:dyDescent="0.2">
      <c r="A452">
        <f t="shared" si="180"/>
        <v>50</v>
      </c>
      <c r="B452" s="5">
        <f t="shared" si="181"/>
        <v>93.1</v>
      </c>
      <c r="C452" s="56">
        <f t="shared" si="182"/>
        <v>59871</v>
      </c>
      <c r="D452" s="57">
        <f ca="1">IF(AND(B451&lt;59.5,OR(B452&gt;59.5,B452=59.5)),(D451-E451+J451-K451)*(1+'Retirement Planning'!$J$23/12),(D451-E451)*(1+'Retirement Planning'!$J$23/12))</f>
        <v>1362873.90557719</v>
      </c>
      <c r="E452" s="58">
        <f t="shared" ca="1" si="171"/>
        <v>2438.9317966139097</v>
      </c>
      <c r="F452" s="57">
        <f ca="1">IF(AND(OR(B452&gt;59.5,B452=59.5),B451&lt;59.5),(F451-G451+L451-M451+N451-O451)*(1+'Retirement Planning'!$J$23/12),(F451-G451)*(1+'Retirement Planning'!$J$23/12))</f>
        <v>330203.61902267032</v>
      </c>
      <c r="G452" s="58">
        <f ca="1">IF(AND($B$10&lt;55,B452&lt;59.5),'Retirement Planning'!$J$25,IF(OR(B452&gt;59.5,B452=59.5),MAX(0,MIN(F452,IF(D452&lt;2500,((Y452+AJ452+AA452))-X452,((Y452+AJ452+AA452)*'Retirement Planning'!$J$44)-X452))),0))</f>
        <v>18041.124710109802</v>
      </c>
      <c r="H452" s="255">
        <f ca="1">IF(MONTH(C452)=1,IF(B452&gt;69.5,F452/(INDEX('Retirement Planning'!D$1:D$264,(160+INT(B452))))/12,0),IF(F452=0,0,H451))</f>
        <v>7967.2188724741327</v>
      </c>
      <c r="I452" s="262">
        <f t="shared" ca="1" si="172"/>
        <v>0</v>
      </c>
      <c r="J452" s="254">
        <f ca="1">IF(AND(B451&lt;59.5,OR(B452=59.5,B452&gt;59.5)),0,(J451-K451)*(1+'Retirement Planning'!$J$23/12))</f>
        <v>0</v>
      </c>
      <c r="K452" s="58">
        <f t="shared" ca="1" si="173"/>
        <v>0</v>
      </c>
      <c r="L452" s="57">
        <f>IF(AND(OR(B452&gt;59.5,B452=59.5),B451&lt;59.5),0,(L451-M451)*(1+'Retirement Planning'!$J$23/12))</f>
        <v>0</v>
      </c>
      <c r="M452" s="59">
        <f>IF(AND($B$10&lt;55,B452&lt;59.5),0,IF(B452&lt;59.5,MAX(0,MIN((($Y452+$AJ452+AA452)*'Retirement Planning'!$J$44)-$G452-$X452,L452)),0))</f>
        <v>0</v>
      </c>
      <c r="N452" s="57">
        <f ca="1">(N451-O451)*(1+'Retirement Planning'!$J$23/12)</f>
        <v>0</v>
      </c>
      <c r="O452" s="59">
        <f ca="1">IF(B452&gt;59.5,MAX(0,MIN((AA452+$Y452+$AJ452)*(IF(D452&lt;(MIN(E440:E451)+1),1,'Retirement Planning'!$J$44))-M452-$G452-$X452-(IF(D452&lt;(MIN(E440:E451)+1),D452,0)),N452)),0)</f>
        <v>0</v>
      </c>
      <c r="P452" s="57">
        <f t="shared" si="183"/>
        <v>0</v>
      </c>
      <c r="Q452" s="58">
        <f t="shared" si="184"/>
        <v>0</v>
      </c>
      <c r="R452" s="57">
        <f ca="1">(R451-S451-T451)*(1+'Retirement Planning'!$J$23/12)</f>
        <v>2108667.8660361711</v>
      </c>
      <c r="S452" s="58">
        <f t="shared" ca="1" si="185"/>
        <v>808.33333333333337</v>
      </c>
      <c r="T452" s="273">
        <f t="shared" ca="1" si="174"/>
        <v>-3.4106051316484809E-12</v>
      </c>
      <c r="U452" s="57">
        <f ca="1">(U451-V451)*(1+'Retirement Planning'!$J$23/12)</f>
        <v>1104665.5791423954</v>
      </c>
      <c r="V452" s="24">
        <f ca="1">IF(AND($B$10&lt;55,B452&lt;59.5),MIN(U452,MAX(0,(Y452+AA452+AJ452-G452)*'Retirement Planning'!$J$45)),IF(B452&lt;59.5,(MIN(U452,MAX(0,((Y452+AA452+AJ452)-G452-M452)*'Retirement Planning'!$J$45))),MIN(U452,MAX(0,(Y452+AA452+AJ452-G452-M452-K452-X452)*'Retirement Planning'!$J$45))))</f>
        <v>2077.608567485921</v>
      </c>
      <c r="W452" s="7">
        <f t="shared" ca="1" si="175"/>
        <v>4906410.9697784269</v>
      </c>
      <c r="X452" s="7">
        <f>(IF(B452&gt;'Retirement Planning'!$J$34,IF('Retirement Planning'!$J$34=70,'Retirement Planning'!$J$37/12,IF('Retirement Planning'!$J$34=67,'Retirement Planning'!$J$36/12,'Retirement Planning'!$J$35/12)),0))*'Retirement Planning'!$J$38</f>
        <v>1213.6000000000001</v>
      </c>
      <c r="Y452" s="7">
        <f ca="1">'Retirement Planning'!$F$35*((1+'Retirement Planning'!$J$24)^(YEAR('Projected Retirement Drawdown'!C452)-YEAR(TODAY())))</f>
        <v>17912.153874091768</v>
      </c>
      <c r="Z452" s="7">
        <f ca="1">G452+M452+O452+0.85*X452+V452*'Retirement Planning'!$J$46+T452</f>
        <v>20215.369422227057</v>
      </c>
      <c r="AA452" s="7">
        <f ca="1">IF(MONTH(C452)=1,(((MIN(MAX(0,((SUM(Z440:Z451)-'Retirement Planning'!$I$53-'Retirement Planning'!$I$54)-'Retirement Planning'!$J$51)*'Retirement Planning'!$I$52))))+(MIN(MAX(0,((SUM(Z440:Z451)-'Retirement Planning'!$I$53-'Retirement Planning'!$I$54)-'Retirement Planning'!$J$50)*'Retirement Planning'!$I$51),('Retirement Planning'!$J$51-'Retirement Planning'!$J$50)*'Retirement Planning'!$I$51))+(MIN(MAX(0,((SUM(Z440:Z451)-'Retirement Planning'!$I$53-'Retirement Planning'!$I$54)-'Retirement Planning'!$J$49)*'Retirement Planning'!$I$50),('Retirement Planning'!$J$50-'Retirement Planning'!$J$49)*'Retirement Planning'!$I$50)+MIN(MAX(0,((SUM(Z440:Z451)-'Retirement Planning'!$I$53-'Retirement Planning'!$I$54)-'Retirement Planning'!$J$48)*'Retirement Planning'!$I$49),('Retirement Planning'!$J$49-'Retirement Planning'!$J$48)*'Retirement Planning'!$I$49)+MIN(((SUM(Z440:Z451)-'Retirement Planning'!$I$53-'Retirement Planning'!$I$54))*'Retirement Planning'!$I$48,('Retirement Planning'!$J$48)*'Retirement Planning'!$I$48))+(IF((SUM(Z440:Z451)-'Retirement Planning'!$I$54-'Retirement Planning'!$I$61)&gt;'Retirement Planning'!$J$59,(SUM(Z440:Z451)-'Retirement Planning'!$I$54-'Retirement Planning'!$I$61-'Retirement Planning'!$J$59)*'Retirement Planning'!$I$60+'Retirement Planning'!$K$59,IF((SUM(Z440:Z451)-'Retirement Planning'!$I$54-'Retirement Planning'!$I$61)&gt;'Retirement Planning'!$J$58,(SUM(Z440:Z451)-'Retirement Planning'!$I$54-'Retirement Planning'!$I$61-'Retirement Planning'!$J$58)*'Retirement Planning'!$I$59+'Retirement Planning'!$K$58,IF((SUM(Z440:Z451)-'Retirement Planning'!$I$54-'Retirement Planning'!$I$61)&gt;'Retirement Planning'!$J$57,(SUM(Z440:Z451)-'Retirement Planning'!$I$54-'Retirement Planning'!$I$61-'Retirement Planning'!$J$57)*'Retirement Planning'!$I$58+'Retirement Planning'!$K$57,IF((SUM(Z440:Z451)-'Retirement Planning'!$I$54-'Retirement Planning'!$I$61)&gt;'Retirement Planning'!$J$56,(SUM(Z440:Z451)-'Retirement Planning'!$I$54-'Retirement Planning'!$I$61-'Retirement Planning'!$J$56)*'Retirement Planning'!$I$57+'Retirement Planning'!$K$56,(SUM(Z440:Z451)-'Retirement Planning'!$I$54-'Retirement Planning'!$I$61)*'Retirement Planning'!$I$56))))))/12,AA451)</f>
        <v>5542.4445334511947</v>
      </c>
      <c r="AB452" s="104">
        <f t="shared" ca="1" si="193"/>
        <v>0.28479592282722271</v>
      </c>
      <c r="AC452" s="7">
        <f>IF(B452&lt;65,'Retirement Planning'!$J$28,0)</f>
        <v>0</v>
      </c>
      <c r="AD452" s="7">
        <f>IF(B452&lt;65,'Retirement Planning'!$J$29/12,0)</f>
        <v>0</v>
      </c>
      <c r="AE452" s="22">
        <f>'Retirement Planning'!$J$31/12</f>
        <v>58.333333333333336</v>
      </c>
      <c r="AF452" s="22">
        <f>'Retirement Planning'!$J$32/12</f>
        <v>66.666666666666671</v>
      </c>
      <c r="AG452" s="7">
        <f>IF($B452&gt;64.9,'Retirement Planning'!$J$39/12,0)</f>
        <v>183.33333333333334</v>
      </c>
      <c r="AH452" s="7">
        <f>IF($B452&gt;64.9,'Retirement Planning'!$J$40/12,0)</f>
        <v>258.33333333333331</v>
      </c>
      <c r="AI452" s="7">
        <f>IF($B452&gt;64.9,'Retirement Planning'!$J$41/12,0)</f>
        <v>558.33333333333337</v>
      </c>
      <c r="AJ452" s="7">
        <f t="shared" ca="1" si="176"/>
        <v>316.66666666666663</v>
      </c>
      <c r="AK452" s="3" t="str">
        <f t="shared" ca="1" si="190"/>
        <v>N/A</v>
      </c>
      <c r="AL452" s="6" t="str">
        <f t="shared" ca="1" si="191"/>
        <v>N/A</v>
      </c>
      <c r="AM452" s="7">
        <f t="shared" ca="1" si="177"/>
        <v>-6.8212102632969618E-13</v>
      </c>
      <c r="AN452" s="7">
        <f t="shared" ca="1" si="178"/>
        <v>24579.598407542962</v>
      </c>
      <c r="AO452" s="7">
        <f t="shared" si="179"/>
        <v>1125</v>
      </c>
    </row>
    <row r="453" spans="1:41" x14ac:dyDescent="0.2">
      <c r="A453">
        <f t="shared" si="180"/>
        <v>50</v>
      </c>
      <c r="B453" s="5">
        <f t="shared" si="181"/>
        <v>93.2</v>
      </c>
      <c r="C453" s="56">
        <f t="shared" si="182"/>
        <v>59902</v>
      </c>
      <c r="D453" s="57">
        <f ca="1">IF(AND(B452&lt;59.5,OR(B453&gt;59.5,B453=59.5)),(D452-E452+J452-K452)*(1+'Retirement Planning'!$J$23/12),(D452-E452)*(1+'Retirement Planning'!$J$23/12))</f>
        <v>1370071.3881781886</v>
      </c>
      <c r="E453" s="58">
        <f t="shared" ca="1" si="171"/>
        <v>2532.3054608249549</v>
      </c>
      <c r="F453" s="57">
        <f ca="1">IF(AND(OR(B453&gt;59.5,B453=59.5),B452&lt;59.5),(F452-G452+L452-M452+N452-O452)*(1+'Retirement Planning'!$J$23/12),(F452-G452)*(1+'Retirement Planning'!$J$23/12))</f>
        <v>314373.64531394118</v>
      </c>
      <c r="G453" s="58">
        <f ca="1">IF(AND($B$10&lt;55,B453&lt;59.5),'Retirement Planning'!$J$25,IF(OR(B453&gt;59.5,B453=59.5),MAX(0,MIN(F453,IF(D453&lt;2500,((Y453+AJ453+AA453))-X453,((Y453+AJ453+AA453)*'Retirement Planning'!$J$44)-X453))),0))</f>
        <v>18778.285217039109</v>
      </c>
      <c r="H453" s="255">
        <f ca="1">IF(MONTH(C453)=1,IF(B453&gt;69.5,F453/(INDEX('Retirement Planning'!D$1:D$264,(160+INT(B453))))/12,0),IF(F453=0,0,H452))</f>
        <v>5346.4905665636252</v>
      </c>
      <c r="I453" s="262">
        <f t="shared" ca="1" si="172"/>
        <v>0</v>
      </c>
      <c r="J453" s="254">
        <f ca="1">IF(AND(B452&lt;59.5,OR(B453=59.5,B453&gt;59.5)),0,(J452-K452)*(1+'Retirement Planning'!$J$23/12))</f>
        <v>0</v>
      </c>
      <c r="K453" s="58">
        <f t="shared" ca="1" si="173"/>
        <v>0</v>
      </c>
      <c r="L453" s="57">
        <f>IF(AND(OR(B453&gt;59.5,B453=59.5),B452&lt;59.5),0,(L452-M452)*(1+'Retirement Planning'!$J$23/12))</f>
        <v>0</v>
      </c>
      <c r="M453" s="59">
        <f>IF(AND($B$10&lt;55,B453&lt;59.5),0,IF(B453&lt;59.5,MAX(0,MIN((($Y453+$AJ453+AA453)*'Retirement Planning'!$J$44)-$G453-$X453,L453)),0))</f>
        <v>0</v>
      </c>
      <c r="N453" s="57">
        <f ca="1">(N452-O452)*(1+'Retirement Planning'!$J$23/12)</f>
        <v>0</v>
      </c>
      <c r="O453" s="59">
        <f ca="1">IF(B453&gt;59.5,MAX(0,MIN((AA453+$Y453+$AJ453)*(IF(D453&lt;(MIN(E441:E452)+1),1,'Retirement Planning'!$J$44))-M453-$G453-$X453-(IF(D453&lt;(MIN(E441:E452)+1),D453,0)),N453)),0)</f>
        <v>0</v>
      </c>
      <c r="P453" s="57">
        <f t="shared" si="183"/>
        <v>0</v>
      </c>
      <c r="Q453" s="58">
        <f t="shared" si="184"/>
        <v>0</v>
      </c>
      <c r="R453" s="57">
        <f ca="1">(R452-S452-T452)*(1+'Retirement Planning'!$J$23/12)</f>
        <v>2122790.2043928159</v>
      </c>
      <c r="S453" s="58">
        <f t="shared" ca="1" si="185"/>
        <v>808.33333333333337</v>
      </c>
      <c r="T453" s="273">
        <f t="shared" ca="1" si="174"/>
        <v>-4.7748471843078732E-12</v>
      </c>
      <c r="U453" s="57">
        <f ca="1">(U452-V452)*(1+'Retirement Planning'!$J$23/12)</f>
        <v>1110397.9686998152</v>
      </c>
      <c r="V453" s="24">
        <f ca="1">IF(AND($B$10&lt;55,B453&lt;59.5),MIN(U453,MAX(0,(Y453+AA453+AJ453-G453)*'Retirement Planning'!$J$45)),IF(B453&lt;59.5,(MIN(U453,MAX(0,((Y453+AA453+AJ453)-G453-M453)*'Retirement Planning'!$J$45))),MIN(U453,MAX(0,(Y453+AA453+AJ453-G453-M453-K453-X453)*'Retirement Planning'!$J$45))))</f>
        <v>2157.149096258292</v>
      </c>
      <c r="W453" s="7">
        <f t="shared" ca="1" si="175"/>
        <v>4917633.2065847609</v>
      </c>
      <c r="X453" s="7">
        <f>(IF(B453&gt;'Retirement Planning'!$J$34,IF('Retirement Planning'!$J$34=70,'Retirement Planning'!$J$37/12,IF('Retirement Planning'!$J$34=67,'Retirement Planning'!$J$36/12,'Retirement Planning'!$J$35/12)),0))*'Retirement Planning'!$J$38</f>
        <v>1213.6000000000001</v>
      </c>
      <c r="Y453" s="7">
        <f ca="1">'Retirement Planning'!$F$35*((1+'Retirement Planning'!$J$24)^(YEAR('Projected Retirement Drawdown'!C453)-YEAR(TODAY())))</f>
        <v>18539.079259684979</v>
      </c>
      <c r="Z453" s="7">
        <f ca="1">G453+M453+O453+0.85*X453+V453*'Retirement Planning'!$J$46+T453</f>
        <v>20996.277219981166</v>
      </c>
      <c r="AA453" s="7">
        <f ca="1">IF(MONTH(C453)=1,(((MIN(MAX(0,((SUM(Z441:Z452)-'Retirement Planning'!$I$53-'Retirement Planning'!$I$54)-'Retirement Planning'!$J$51)*'Retirement Planning'!$I$52))))+(MIN(MAX(0,((SUM(Z441:Z452)-'Retirement Planning'!$I$53-'Retirement Planning'!$I$54)-'Retirement Planning'!$J$50)*'Retirement Planning'!$I$51),('Retirement Planning'!$J$51-'Retirement Planning'!$J$50)*'Retirement Planning'!$I$51))+(MIN(MAX(0,((SUM(Z441:Z452)-'Retirement Planning'!$I$53-'Retirement Planning'!$I$54)-'Retirement Planning'!$J$49)*'Retirement Planning'!$I$50),('Retirement Planning'!$J$50-'Retirement Planning'!$J$49)*'Retirement Planning'!$I$50)+MIN(MAX(0,((SUM(Z441:Z452)-'Retirement Planning'!$I$53-'Retirement Planning'!$I$54)-'Retirement Planning'!$J$48)*'Retirement Planning'!$I$49),('Retirement Planning'!$J$49-'Retirement Planning'!$J$48)*'Retirement Planning'!$I$49)+MIN(((SUM(Z441:Z452)-'Retirement Planning'!$I$53-'Retirement Planning'!$I$54))*'Retirement Planning'!$I$48,('Retirement Planning'!$J$48)*'Retirement Planning'!$I$48))+(IF((SUM(Z441:Z452)-'Retirement Planning'!$I$54-'Retirement Planning'!$I$61)&gt;'Retirement Planning'!$J$59,(SUM(Z441:Z452)-'Retirement Planning'!$I$54-'Retirement Planning'!$I$61-'Retirement Planning'!$J$59)*'Retirement Planning'!$I$60+'Retirement Planning'!$K$59,IF((SUM(Z441:Z452)-'Retirement Planning'!$I$54-'Retirement Planning'!$I$61)&gt;'Retirement Planning'!$J$58,(SUM(Z441:Z452)-'Retirement Planning'!$I$54-'Retirement Planning'!$I$61-'Retirement Planning'!$J$58)*'Retirement Planning'!$I$59+'Retirement Planning'!$K$58,IF((SUM(Z441:Z452)-'Retirement Planning'!$I$54-'Retirement Planning'!$I$61)&gt;'Retirement Planning'!$J$57,(SUM(Z441:Z452)-'Retirement Planning'!$I$54-'Retirement Planning'!$I$61-'Retirement Planning'!$J$57)*'Retirement Planning'!$I$58+'Retirement Planning'!$K$57,IF((SUM(Z441:Z452)-'Retirement Planning'!$I$54-'Retirement Planning'!$I$61)&gt;'Retirement Planning'!$J$56,(SUM(Z441:Z452)-'Retirement Planning'!$I$54-'Retirement Planning'!$I$61-'Retirement Planning'!$J$56)*'Retirement Planning'!$I$57+'Retirement Planning'!$K$56,(SUM(Z441:Z452)-'Retirement Planning'!$I$54-'Retirement Planning'!$I$61)*'Retirement Planning'!$I$56))))))/12,AA452)</f>
        <v>5825.593847770705</v>
      </c>
      <c r="AB453" s="104">
        <f t="shared" ref="AB453" ca="1" si="196">SUM(AA453:AA464)/SUM(Z441:Z452)</f>
        <v>0.28817647237083821</v>
      </c>
      <c r="AC453" s="7">
        <f>IF(B453&lt;65,'Retirement Planning'!$J$28,0)</f>
        <v>0</v>
      </c>
      <c r="AD453" s="7">
        <f>IF(B453&lt;65,'Retirement Planning'!$J$29/12,0)</f>
        <v>0</v>
      </c>
      <c r="AE453" s="22">
        <f>'Retirement Planning'!$J$31/12</f>
        <v>58.333333333333336</v>
      </c>
      <c r="AF453" s="22">
        <f>'Retirement Planning'!$J$32/12</f>
        <v>66.666666666666671</v>
      </c>
      <c r="AG453" s="7">
        <f>IF($B453&gt;64.9,'Retirement Planning'!$J$39/12,0)</f>
        <v>183.33333333333334</v>
      </c>
      <c r="AH453" s="7">
        <f>IF($B453&gt;64.9,'Retirement Planning'!$J$40/12,0)</f>
        <v>258.33333333333331</v>
      </c>
      <c r="AI453" s="7">
        <f>IF($B453&gt;64.9,'Retirement Planning'!$J$41/12,0)</f>
        <v>558.33333333333337</v>
      </c>
      <c r="AJ453" s="7">
        <f t="shared" ca="1" si="176"/>
        <v>316.66666666666663</v>
      </c>
      <c r="AK453" s="3" t="str">
        <f t="shared" ca="1" si="190"/>
        <v>N/A</v>
      </c>
      <c r="AL453" s="6" t="str">
        <f t="shared" ca="1" si="191"/>
        <v>N/A</v>
      </c>
      <c r="AM453" s="7">
        <f t="shared" ca="1" si="177"/>
        <v>-6.8212102632969618E-13</v>
      </c>
      <c r="AN453" s="7">
        <f t="shared" ca="1" si="178"/>
        <v>25489.673107455685</v>
      </c>
      <c r="AO453" s="7">
        <f t="shared" si="179"/>
        <v>1125</v>
      </c>
    </row>
    <row r="454" spans="1:41" x14ac:dyDescent="0.2">
      <c r="A454">
        <f t="shared" si="180"/>
        <v>50</v>
      </c>
      <c r="B454" s="5">
        <f t="shared" si="181"/>
        <v>93.3</v>
      </c>
      <c r="C454" s="56">
        <f t="shared" si="182"/>
        <v>59933</v>
      </c>
      <c r="D454" s="57">
        <f ca="1">IF(AND(B453&lt;59.5,OR(B454&gt;59.5,B454=59.5)),(D453-E453+J453-K453)*(1+'Retirement Planning'!$J$23/12),(D453-E453)*(1+'Retirement Planning'!$J$23/12))</f>
        <v>1377225.8178866117</v>
      </c>
      <c r="E454" s="58">
        <f t="shared" ca="1" si="171"/>
        <v>2532.3054608249549</v>
      </c>
      <c r="F454" s="57">
        <f ca="1">IF(AND(OR(B454&gt;59.5,B454=59.5),B453&lt;59.5),(F453-G453+L453-M453+N453-O453)*(1+'Retirement Planning'!$J$23/12),(F453-G453)*(1+'Retirement Planning'!$J$23/12))</f>
        <v>297689.16056425514</v>
      </c>
      <c r="G454" s="58">
        <f ca="1">IF(AND($B$10&lt;55,B454&lt;59.5),'Retirement Planning'!$J$25,IF(OR(B454&gt;59.5,B454=59.5),MAX(0,MIN(F454,IF(D454&lt;2500,((Y454+AJ454+AA454))-X454,((Y454+AJ454+AA454)*'Retirement Planning'!$J$44)-X454))),0))</f>
        <v>18778.285217039109</v>
      </c>
      <c r="H454" s="255">
        <f ca="1">IF(MONTH(C454)=1,IF(B454&gt;69.5,F454/(INDEX('Retirement Planning'!D$1:D$264,(160+INT(B454))))/12,0),IF(F454=0,0,H453))</f>
        <v>5346.4905665636252</v>
      </c>
      <c r="I454" s="262">
        <f t="shared" ca="1" si="172"/>
        <v>0</v>
      </c>
      <c r="J454" s="254">
        <f ca="1">IF(AND(B453&lt;59.5,OR(B454=59.5,B454&gt;59.5)),0,(J453-K453)*(1+'Retirement Planning'!$J$23/12))</f>
        <v>0</v>
      </c>
      <c r="K454" s="58">
        <f t="shared" ca="1" si="173"/>
        <v>0</v>
      </c>
      <c r="L454" s="57">
        <f>IF(AND(OR(B454&gt;59.5,B454=59.5),B453&lt;59.5),0,(L453-M453)*(1+'Retirement Planning'!$J$23/12))</f>
        <v>0</v>
      </c>
      <c r="M454" s="59">
        <f>IF(AND($B$10&lt;55,B454&lt;59.5),0,IF(B454&lt;59.5,MAX(0,MIN((($Y454+$AJ454+AA454)*'Retirement Planning'!$J$44)-$G454-$X454,L454)),0))</f>
        <v>0</v>
      </c>
      <c r="N454" s="57">
        <f ca="1">(N453-O453)*(1+'Retirement Planning'!$J$23/12)</f>
        <v>0</v>
      </c>
      <c r="O454" s="59">
        <f ca="1">IF(B454&gt;59.5,MAX(0,MIN((AA454+$Y454+$AJ454)*(IF(D454&lt;(MIN(E442:E453)+1),1,'Retirement Planning'!$J$44))-M454-$G454-$X454-(IF(D454&lt;(MIN(E442:E453)+1),D454,0)),N454)),0)</f>
        <v>0</v>
      </c>
      <c r="P454" s="57">
        <f t="shared" si="183"/>
        <v>0</v>
      </c>
      <c r="Q454" s="58">
        <f t="shared" si="184"/>
        <v>0</v>
      </c>
      <c r="R454" s="57">
        <f ca="1">(R453-S453-T453)*(1+'Retirement Planning'!$J$23/12)</f>
        <v>2137012.575979487</v>
      </c>
      <c r="S454" s="58">
        <f t="shared" ca="1" si="185"/>
        <v>808.33333333333337</v>
      </c>
      <c r="T454" s="273">
        <f t="shared" ca="1" si="174"/>
        <v>-4.7748471843078732E-12</v>
      </c>
      <c r="U454" s="57">
        <f ca="1">(U453-V453)*(1+'Retirement Planning'!$J$23/12)</f>
        <v>1116090.8587424154</v>
      </c>
      <c r="V454" s="24">
        <f ca="1">IF(AND($B$10&lt;55,B454&lt;59.5),MIN(U454,MAX(0,(Y454+AA454+AJ454-G454)*'Retirement Planning'!$J$45)),IF(B454&lt;59.5,(MIN(U454,MAX(0,((Y454+AA454+AJ454)-G454-M454)*'Retirement Planning'!$J$45))),MIN(U454,MAX(0,(Y454+AA454+AJ454-G454-M454-K454-X454)*'Retirement Planning'!$J$45))))</f>
        <v>2157.149096258292</v>
      </c>
      <c r="W454" s="7">
        <f t="shared" ca="1" si="175"/>
        <v>4928018.4131727694</v>
      </c>
      <c r="X454" s="7">
        <f>(IF(B454&gt;'Retirement Planning'!$J$34,IF('Retirement Planning'!$J$34=70,'Retirement Planning'!$J$37/12,IF('Retirement Planning'!$J$34=67,'Retirement Planning'!$J$36/12,'Retirement Planning'!$J$35/12)),0))*'Retirement Planning'!$J$38</f>
        <v>1213.6000000000001</v>
      </c>
      <c r="Y454" s="7">
        <f ca="1">'Retirement Planning'!$F$35*((1+'Retirement Planning'!$J$24)^(YEAR('Projected Retirement Drawdown'!C454)-YEAR(TODAY())))</f>
        <v>18539.079259684979</v>
      </c>
      <c r="Z454" s="7">
        <f ca="1">G454+M454+O454+0.85*X454+V454*'Retirement Planning'!$J$46+T454</f>
        <v>20996.277219981166</v>
      </c>
      <c r="AA454" s="7">
        <f ca="1">IF(MONTH(C454)=1,(((MIN(MAX(0,((SUM(Z442:Z453)-'Retirement Planning'!$I$53-'Retirement Planning'!$I$54)-'Retirement Planning'!$J$51)*'Retirement Planning'!$I$52))))+(MIN(MAX(0,((SUM(Z442:Z453)-'Retirement Planning'!$I$53-'Retirement Planning'!$I$54)-'Retirement Planning'!$J$50)*'Retirement Planning'!$I$51),('Retirement Planning'!$J$51-'Retirement Planning'!$J$50)*'Retirement Planning'!$I$51))+(MIN(MAX(0,((SUM(Z442:Z453)-'Retirement Planning'!$I$53-'Retirement Planning'!$I$54)-'Retirement Planning'!$J$49)*'Retirement Planning'!$I$50),('Retirement Planning'!$J$50-'Retirement Planning'!$J$49)*'Retirement Planning'!$I$50)+MIN(MAX(0,((SUM(Z442:Z453)-'Retirement Planning'!$I$53-'Retirement Planning'!$I$54)-'Retirement Planning'!$J$48)*'Retirement Planning'!$I$49),('Retirement Planning'!$J$49-'Retirement Planning'!$J$48)*'Retirement Planning'!$I$49)+MIN(((SUM(Z442:Z453)-'Retirement Planning'!$I$53-'Retirement Planning'!$I$54))*'Retirement Planning'!$I$48,('Retirement Planning'!$J$48)*'Retirement Planning'!$I$48))+(IF((SUM(Z442:Z453)-'Retirement Planning'!$I$54-'Retirement Planning'!$I$61)&gt;'Retirement Planning'!$J$59,(SUM(Z442:Z453)-'Retirement Planning'!$I$54-'Retirement Planning'!$I$61-'Retirement Planning'!$J$59)*'Retirement Planning'!$I$60+'Retirement Planning'!$K$59,IF((SUM(Z442:Z453)-'Retirement Planning'!$I$54-'Retirement Planning'!$I$61)&gt;'Retirement Planning'!$J$58,(SUM(Z442:Z453)-'Retirement Planning'!$I$54-'Retirement Planning'!$I$61-'Retirement Planning'!$J$58)*'Retirement Planning'!$I$59+'Retirement Planning'!$K$58,IF((SUM(Z442:Z453)-'Retirement Planning'!$I$54-'Retirement Planning'!$I$61)&gt;'Retirement Planning'!$J$57,(SUM(Z442:Z453)-'Retirement Planning'!$I$54-'Retirement Planning'!$I$61-'Retirement Planning'!$J$57)*'Retirement Planning'!$I$58+'Retirement Planning'!$K$57,IF((SUM(Z442:Z453)-'Retirement Planning'!$I$54-'Retirement Planning'!$I$61)&gt;'Retirement Planning'!$J$56,(SUM(Z442:Z453)-'Retirement Planning'!$I$54-'Retirement Planning'!$I$61-'Retirement Planning'!$J$56)*'Retirement Planning'!$I$57+'Retirement Planning'!$K$56,(SUM(Z442:Z453)-'Retirement Planning'!$I$54-'Retirement Planning'!$I$61)*'Retirement Planning'!$I$56))))))/12,AA453)</f>
        <v>5825.593847770705</v>
      </c>
      <c r="AB454" s="104">
        <f t="shared" ref="AB454:AB500" ca="1" si="197">AB453</f>
        <v>0.28817647237083821</v>
      </c>
      <c r="AC454" s="7">
        <f>IF(B454&lt;65,'Retirement Planning'!$J$28,0)</f>
        <v>0</v>
      </c>
      <c r="AD454" s="7">
        <f>IF(B454&lt;65,'Retirement Planning'!$J$29/12,0)</f>
        <v>0</v>
      </c>
      <c r="AE454" s="22">
        <f>'Retirement Planning'!$J$31/12</f>
        <v>58.333333333333336</v>
      </c>
      <c r="AF454" s="22">
        <f>'Retirement Planning'!$J$32/12</f>
        <v>66.666666666666671</v>
      </c>
      <c r="AG454" s="7">
        <f>IF($B454&gt;64.9,'Retirement Planning'!$J$39/12,0)</f>
        <v>183.33333333333334</v>
      </c>
      <c r="AH454" s="7">
        <f>IF($B454&gt;64.9,'Retirement Planning'!$J$40/12,0)</f>
        <v>258.33333333333331</v>
      </c>
      <c r="AI454" s="7">
        <f>IF($B454&gt;64.9,'Retirement Planning'!$J$41/12,0)</f>
        <v>558.33333333333337</v>
      </c>
      <c r="AJ454" s="7">
        <f t="shared" ca="1" si="176"/>
        <v>316.66666666666663</v>
      </c>
      <c r="AK454" s="3" t="str">
        <f t="shared" ca="1" si="190"/>
        <v>N/A</v>
      </c>
      <c r="AL454" s="6" t="str">
        <f t="shared" ca="1" si="191"/>
        <v>N/A</v>
      </c>
      <c r="AM454" s="7">
        <f t="shared" ca="1" si="177"/>
        <v>-6.8212102632969618E-13</v>
      </c>
      <c r="AN454" s="7">
        <f t="shared" ca="1" si="178"/>
        <v>25489.673107455685</v>
      </c>
      <c r="AO454" s="7">
        <f t="shared" si="179"/>
        <v>1125</v>
      </c>
    </row>
    <row r="455" spans="1:41" x14ac:dyDescent="0.2">
      <c r="A455">
        <f t="shared" si="180"/>
        <v>50</v>
      </c>
      <c r="B455" s="5">
        <f t="shared" si="181"/>
        <v>93.4</v>
      </c>
      <c r="C455" s="56">
        <f t="shared" si="182"/>
        <v>59962</v>
      </c>
      <c r="D455" s="57">
        <f ca="1">IF(AND(B454&lt;59.5,OR(B455&gt;59.5,B455=59.5)),(D454-E454+J454-K454)*(1+'Retirement Planning'!$J$23/12),(D454-E454)*(1+'Retirement Planning'!$J$23/12))</f>
        <v>1384430.9248054696</v>
      </c>
      <c r="E455" s="58">
        <f t="shared" ca="1" si="171"/>
        <v>2532.3054608249549</v>
      </c>
      <c r="F455" s="57">
        <f ca="1">IF(AND(OR(B455&gt;59.5,B455=59.5),B454&lt;59.5),(F454-G454+L454-M454+N454-O454)*(1+'Retirement Planning'!$J$23/12),(F454-G454)*(1+'Retirement Planning'!$J$23/12))</f>
        <v>280886.49404759216</v>
      </c>
      <c r="G455" s="58">
        <f ca="1">IF(AND($B$10&lt;55,B455&lt;59.5),'Retirement Planning'!$J$25,IF(OR(B455&gt;59.5,B455=59.5),MAX(0,MIN(F455,IF(D455&lt;2500,((Y455+AJ455+AA455))-X455,((Y455+AJ455+AA455)*'Retirement Planning'!$J$44)-X455))),0))</f>
        <v>18778.285217039109</v>
      </c>
      <c r="H455" s="255">
        <f ca="1">IF(MONTH(C455)=1,IF(B455&gt;69.5,F455/(INDEX('Retirement Planning'!D$1:D$264,(160+INT(B455))))/12,0),IF(F455=0,0,H454))</f>
        <v>5346.4905665636252</v>
      </c>
      <c r="I455" s="262">
        <f t="shared" ca="1" si="172"/>
        <v>0</v>
      </c>
      <c r="J455" s="254">
        <f ca="1">IF(AND(B454&lt;59.5,OR(B455=59.5,B455&gt;59.5)),0,(J454-K454)*(1+'Retirement Planning'!$J$23/12))</f>
        <v>0</v>
      </c>
      <c r="K455" s="58">
        <f t="shared" ca="1" si="173"/>
        <v>0</v>
      </c>
      <c r="L455" s="57">
        <f>IF(AND(OR(B455&gt;59.5,B455=59.5),B454&lt;59.5),0,(L454-M454)*(1+'Retirement Planning'!$J$23/12))</f>
        <v>0</v>
      </c>
      <c r="M455" s="59">
        <f>IF(AND($B$10&lt;55,B455&lt;59.5),0,IF(B455&lt;59.5,MAX(0,MIN((($Y455+$AJ455+AA455)*'Retirement Planning'!$J$44)-$G455-$X455,L455)),0))</f>
        <v>0</v>
      </c>
      <c r="N455" s="57">
        <f ca="1">(N454-O454)*(1+'Retirement Planning'!$J$23/12)</f>
        <v>0</v>
      </c>
      <c r="O455" s="59">
        <f ca="1">IF(B455&gt;59.5,MAX(0,MIN((AA455+$Y455+$AJ455)*(IF(D455&lt;(MIN(E443:E454)+1),1,'Retirement Planning'!$J$44))-M455-$G455-$X455-(IF(D455&lt;(MIN(E443:E454)+1),D455,0)),N455)),0)</f>
        <v>0</v>
      </c>
      <c r="P455" s="57">
        <f t="shared" si="183"/>
        <v>0</v>
      </c>
      <c r="Q455" s="58">
        <f t="shared" si="184"/>
        <v>0</v>
      </c>
      <c r="R455" s="57">
        <f ca="1">(R454-S454-T454)*(1+'Retirement Planning'!$J$23/12)</f>
        <v>2151335.6893648971</v>
      </c>
      <c r="S455" s="58">
        <f t="shared" ca="1" si="185"/>
        <v>808.33333333333337</v>
      </c>
      <c r="T455" s="273">
        <f t="shared" ca="1" si="174"/>
        <v>-4.7748471843078732E-12</v>
      </c>
      <c r="U455" s="57">
        <f ca="1">(U454-V454)*(1+'Retirement Planning'!$J$23/12)</f>
        <v>1121824.0734228175</v>
      </c>
      <c r="V455" s="24">
        <f ca="1">IF(AND($B$10&lt;55,B455&lt;59.5),MIN(U455,MAX(0,(Y455+AA455+AJ455-G455)*'Retirement Planning'!$J$45)),IF(B455&lt;59.5,(MIN(U455,MAX(0,((Y455+AA455+AJ455)-G455-M455)*'Retirement Planning'!$J$45))),MIN(U455,MAX(0,(Y455+AA455+AJ455-G455-M455-K455-X455)*'Retirement Planning'!$J$45))))</f>
        <v>2157.149096258292</v>
      </c>
      <c r="W455" s="7">
        <f t="shared" ca="1" si="175"/>
        <v>4938477.1816407759</v>
      </c>
      <c r="X455" s="7">
        <f>(IF(B455&gt;'Retirement Planning'!$J$34,IF('Retirement Planning'!$J$34=70,'Retirement Planning'!$J$37/12,IF('Retirement Planning'!$J$34=67,'Retirement Planning'!$J$36/12,'Retirement Planning'!$J$35/12)),0))*'Retirement Planning'!$J$38</f>
        <v>1213.6000000000001</v>
      </c>
      <c r="Y455" s="7">
        <f ca="1">'Retirement Planning'!$F$35*((1+'Retirement Planning'!$J$24)^(YEAR('Projected Retirement Drawdown'!C455)-YEAR(TODAY())))</f>
        <v>18539.079259684979</v>
      </c>
      <c r="Z455" s="7">
        <f ca="1">G455+M455+O455+0.85*X455+V455*'Retirement Planning'!$J$46+T455</f>
        <v>20996.277219981166</v>
      </c>
      <c r="AA455" s="7">
        <f ca="1">IF(MONTH(C455)=1,(((MIN(MAX(0,((SUM(Z443:Z454)-'Retirement Planning'!$I$53-'Retirement Planning'!$I$54)-'Retirement Planning'!$J$51)*'Retirement Planning'!$I$52))))+(MIN(MAX(0,((SUM(Z443:Z454)-'Retirement Planning'!$I$53-'Retirement Planning'!$I$54)-'Retirement Planning'!$J$50)*'Retirement Planning'!$I$51),('Retirement Planning'!$J$51-'Retirement Planning'!$J$50)*'Retirement Planning'!$I$51))+(MIN(MAX(0,((SUM(Z443:Z454)-'Retirement Planning'!$I$53-'Retirement Planning'!$I$54)-'Retirement Planning'!$J$49)*'Retirement Planning'!$I$50),('Retirement Planning'!$J$50-'Retirement Planning'!$J$49)*'Retirement Planning'!$I$50)+MIN(MAX(0,((SUM(Z443:Z454)-'Retirement Planning'!$I$53-'Retirement Planning'!$I$54)-'Retirement Planning'!$J$48)*'Retirement Planning'!$I$49),('Retirement Planning'!$J$49-'Retirement Planning'!$J$48)*'Retirement Planning'!$I$49)+MIN(((SUM(Z443:Z454)-'Retirement Planning'!$I$53-'Retirement Planning'!$I$54))*'Retirement Planning'!$I$48,('Retirement Planning'!$J$48)*'Retirement Planning'!$I$48))+(IF((SUM(Z443:Z454)-'Retirement Planning'!$I$54-'Retirement Planning'!$I$61)&gt;'Retirement Planning'!$J$59,(SUM(Z443:Z454)-'Retirement Planning'!$I$54-'Retirement Planning'!$I$61-'Retirement Planning'!$J$59)*'Retirement Planning'!$I$60+'Retirement Planning'!$K$59,IF((SUM(Z443:Z454)-'Retirement Planning'!$I$54-'Retirement Planning'!$I$61)&gt;'Retirement Planning'!$J$58,(SUM(Z443:Z454)-'Retirement Planning'!$I$54-'Retirement Planning'!$I$61-'Retirement Planning'!$J$58)*'Retirement Planning'!$I$59+'Retirement Planning'!$K$58,IF((SUM(Z443:Z454)-'Retirement Planning'!$I$54-'Retirement Planning'!$I$61)&gt;'Retirement Planning'!$J$57,(SUM(Z443:Z454)-'Retirement Planning'!$I$54-'Retirement Planning'!$I$61-'Retirement Planning'!$J$57)*'Retirement Planning'!$I$58+'Retirement Planning'!$K$57,IF((SUM(Z443:Z454)-'Retirement Planning'!$I$54-'Retirement Planning'!$I$61)&gt;'Retirement Planning'!$J$56,(SUM(Z443:Z454)-'Retirement Planning'!$I$54-'Retirement Planning'!$I$61-'Retirement Planning'!$J$56)*'Retirement Planning'!$I$57+'Retirement Planning'!$K$56,(SUM(Z443:Z454)-'Retirement Planning'!$I$54-'Retirement Planning'!$I$61)*'Retirement Planning'!$I$56))))))/12,AA454)</f>
        <v>5825.593847770705</v>
      </c>
      <c r="AB455" s="104">
        <f t="shared" ca="1" si="193"/>
        <v>0.28817647237083821</v>
      </c>
      <c r="AC455" s="7">
        <f>IF(B455&lt;65,'Retirement Planning'!$J$28,0)</f>
        <v>0</v>
      </c>
      <c r="AD455" s="7">
        <f>IF(B455&lt;65,'Retirement Planning'!$J$29/12,0)</f>
        <v>0</v>
      </c>
      <c r="AE455" s="22">
        <f>'Retirement Planning'!$J$31/12</f>
        <v>58.333333333333336</v>
      </c>
      <c r="AF455" s="22">
        <f>'Retirement Planning'!$J$32/12</f>
        <v>66.666666666666671</v>
      </c>
      <c r="AG455" s="7">
        <f>IF($B455&gt;64.9,'Retirement Planning'!$J$39/12,0)</f>
        <v>183.33333333333334</v>
      </c>
      <c r="AH455" s="7">
        <f>IF($B455&gt;64.9,'Retirement Planning'!$J$40/12,0)</f>
        <v>258.33333333333331</v>
      </c>
      <c r="AI455" s="7">
        <f>IF($B455&gt;64.9,'Retirement Planning'!$J$41/12,0)</f>
        <v>558.33333333333337</v>
      </c>
      <c r="AJ455" s="7">
        <f t="shared" ca="1" si="176"/>
        <v>316.66666666666663</v>
      </c>
      <c r="AK455" s="3" t="str">
        <f t="shared" ca="1" si="190"/>
        <v>N/A</v>
      </c>
      <c r="AL455" s="6" t="str">
        <f t="shared" ca="1" si="191"/>
        <v>N/A</v>
      </c>
      <c r="AM455" s="7">
        <f t="shared" ca="1" si="177"/>
        <v>-6.8212102632969618E-13</v>
      </c>
      <c r="AN455" s="7">
        <f t="shared" ca="1" si="178"/>
        <v>25489.673107455685</v>
      </c>
      <c r="AO455" s="7">
        <f t="shared" si="179"/>
        <v>1125</v>
      </c>
    </row>
    <row r="456" spans="1:41" x14ac:dyDescent="0.2">
      <c r="A456">
        <f t="shared" si="180"/>
        <v>50</v>
      </c>
      <c r="B456" s="5">
        <f t="shared" si="181"/>
        <v>93.5</v>
      </c>
      <c r="C456" s="56">
        <f t="shared" si="182"/>
        <v>59993</v>
      </c>
      <c r="D456" s="57">
        <f ca="1">IF(AND(B455&lt;59.5,OR(B456&gt;59.5,B456=59.5)),(D455-E455+J455-K455)*(1+'Retirement Planning'!$J$23/12),(D455-E455)*(1+'Retirement Planning'!$J$23/12))</f>
        <v>1391687.0678983359</v>
      </c>
      <c r="E456" s="58">
        <f t="shared" ca="1" si="171"/>
        <v>2532.3054608249549</v>
      </c>
      <c r="F456" s="57">
        <f ca="1">IF(AND(OR(B456&gt;59.5,B456=59.5),B455&lt;59.5),(F455-G455+L455-M455+N455-O455)*(1+'Retirement Planning'!$J$23/12),(F455-G455)*(1+'Retirement Planning'!$J$23/12))</f>
        <v>263964.80864310282</v>
      </c>
      <c r="G456" s="58">
        <f ca="1">IF(AND($B$10&lt;55,B456&lt;59.5),'Retirement Planning'!$J$25,IF(OR(B456&gt;59.5,B456=59.5),MAX(0,MIN(F456,IF(D456&lt;2500,((Y456+AJ456+AA456))-X456,((Y456+AJ456+AA456)*'Retirement Planning'!$J$44)-X456))),0))</f>
        <v>18778.285217039109</v>
      </c>
      <c r="H456" s="255">
        <f ca="1">IF(MONTH(C456)=1,IF(B456&gt;69.5,F456/(INDEX('Retirement Planning'!D$1:D$264,(160+INT(B456))))/12,0),IF(F456=0,0,H455))</f>
        <v>5346.4905665636252</v>
      </c>
      <c r="I456" s="262">
        <f t="shared" ca="1" si="172"/>
        <v>0</v>
      </c>
      <c r="J456" s="254">
        <f ca="1">IF(AND(B455&lt;59.5,OR(B456=59.5,B456&gt;59.5)),0,(J455-K455)*(1+'Retirement Planning'!$J$23/12))</f>
        <v>0</v>
      </c>
      <c r="K456" s="58">
        <f t="shared" ca="1" si="173"/>
        <v>0</v>
      </c>
      <c r="L456" s="57">
        <f>IF(AND(OR(B456&gt;59.5,B456=59.5),B455&lt;59.5),0,(L455-M455)*(1+'Retirement Planning'!$J$23/12))</f>
        <v>0</v>
      </c>
      <c r="M456" s="59">
        <f>IF(AND($B$10&lt;55,B456&lt;59.5),0,IF(B456&lt;59.5,MAX(0,MIN((($Y456+$AJ456+AA456)*'Retirement Planning'!$J$44)-$G456-$X456,L456)),0))</f>
        <v>0</v>
      </c>
      <c r="N456" s="57">
        <f ca="1">(N455-O455)*(1+'Retirement Planning'!$J$23/12)</f>
        <v>0</v>
      </c>
      <c r="O456" s="59">
        <f ca="1">IF(B456&gt;59.5,MAX(0,MIN((AA456+$Y456+$AJ456)*(IF(D456&lt;(MIN(E444:E455)+1),1,'Retirement Planning'!$J$44))-M456-$G456-$X456-(IF(D456&lt;(MIN(E444:E455)+1),D456,0)),N456)),0)</f>
        <v>0</v>
      </c>
      <c r="P456" s="57">
        <f t="shared" si="183"/>
        <v>0</v>
      </c>
      <c r="Q456" s="58">
        <f t="shared" si="184"/>
        <v>0</v>
      </c>
      <c r="R456" s="57">
        <f ca="1">(R455-S455-T455)*(1+'Retirement Planning'!$J$23/12)</f>
        <v>2165760.258136787</v>
      </c>
      <c r="S456" s="58">
        <f t="shared" ca="1" si="185"/>
        <v>808.33333333333337</v>
      </c>
      <c r="T456" s="273">
        <f t="shared" ca="1" si="174"/>
        <v>-4.7748471843078732E-12</v>
      </c>
      <c r="U456" s="57">
        <f ca="1">(U455-V455)*(1+'Retirement Planning'!$J$23/12)</f>
        <v>1127597.8983738725</v>
      </c>
      <c r="V456" s="24">
        <f ca="1">IF(AND($B$10&lt;55,B456&lt;59.5),MIN(U456,MAX(0,(Y456+AA456+AJ456-G456)*'Retirement Planning'!$J$45)),IF(B456&lt;59.5,(MIN(U456,MAX(0,((Y456+AA456+AJ456)-G456-M456)*'Retirement Planning'!$J$45))),MIN(U456,MAX(0,(Y456+AA456+AJ456-G456-M456-K456-X456)*'Retirement Planning'!$J$45))))</f>
        <v>2157.149096258292</v>
      </c>
      <c r="W456" s="7">
        <f t="shared" ca="1" si="175"/>
        <v>4949010.033052098</v>
      </c>
      <c r="X456" s="7">
        <f>(IF(B456&gt;'Retirement Planning'!$J$34,IF('Retirement Planning'!$J$34=70,'Retirement Planning'!$J$37/12,IF('Retirement Planning'!$J$34=67,'Retirement Planning'!$J$36/12,'Retirement Planning'!$J$35/12)),0))*'Retirement Planning'!$J$38</f>
        <v>1213.6000000000001</v>
      </c>
      <c r="Y456" s="7">
        <f ca="1">'Retirement Planning'!$F$35*((1+'Retirement Planning'!$J$24)^(YEAR('Projected Retirement Drawdown'!C456)-YEAR(TODAY())))</f>
        <v>18539.079259684979</v>
      </c>
      <c r="Z456" s="7">
        <f ca="1">G456+M456+O456+0.85*X456+V456*'Retirement Planning'!$J$46+T456</f>
        <v>20996.277219981166</v>
      </c>
      <c r="AA456" s="7">
        <f ca="1">IF(MONTH(C456)=1,(((MIN(MAX(0,((SUM(Z444:Z455)-'Retirement Planning'!$I$53-'Retirement Planning'!$I$54)-'Retirement Planning'!$J$51)*'Retirement Planning'!$I$52))))+(MIN(MAX(0,((SUM(Z444:Z455)-'Retirement Planning'!$I$53-'Retirement Planning'!$I$54)-'Retirement Planning'!$J$50)*'Retirement Planning'!$I$51),('Retirement Planning'!$J$51-'Retirement Planning'!$J$50)*'Retirement Planning'!$I$51))+(MIN(MAX(0,((SUM(Z444:Z455)-'Retirement Planning'!$I$53-'Retirement Planning'!$I$54)-'Retirement Planning'!$J$49)*'Retirement Planning'!$I$50),('Retirement Planning'!$J$50-'Retirement Planning'!$J$49)*'Retirement Planning'!$I$50)+MIN(MAX(0,((SUM(Z444:Z455)-'Retirement Planning'!$I$53-'Retirement Planning'!$I$54)-'Retirement Planning'!$J$48)*'Retirement Planning'!$I$49),('Retirement Planning'!$J$49-'Retirement Planning'!$J$48)*'Retirement Planning'!$I$49)+MIN(((SUM(Z444:Z455)-'Retirement Planning'!$I$53-'Retirement Planning'!$I$54))*'Retirement Planning'!$I$48,('Retirement Planning'!$J$48)*'Retirement Planning'!$I$48))+(IF((SUM(Z444:Z455)-'Retirement Planning'!$I$54-'Retirement Planning'!$I$61)&gt;'Retirement Planning'!$J$59,(SUM(Z444:Z455)-'Retirement Planning'!$I$54-'Retirement Planning'!$I$61-'Retirement Planning'!$J$59)*'Retirement Planning'!$I$60+'Retirement Planning'!$K$59,IF((SUM(Z444:Z455)-'Retirement Planning'!$I$54-'Retirement Planning'!$I$61)&gt;'Retirement Planning'!$J$58,(SUM(Z444:Z455)-'Retirement Planning'!$I$54-'Retirement Planning'!$I$61-'Retirement Planning'!$J$58)*'Retirement Planning'!$I$59+'Retirement Planning'!$K$58,IF((SUM(Z444:Z455)-'Retirement Planning'!$I$54-'Retirement Planning'!$I$61)&gt;'Retirement Planning'!$J$57,(SUM(Z444:Z455)-'Retirement Planning'!$I$54-'Retirement Planning'!$I$61-'Retirement Planning'!$J$57)*'Retirement Planning'!$I$58+'Retirement Planning'!$K$57,IF((SUM(Z444:Z455)-'Retirement Planning'!$I$54-'Retirement Planning'!$I$61)&gt;'Retirement Planning'!$J$56,(SUM(Z444:Z455)-'Retirement Planning'!$I$54-'Retirement Planning'!$I$61-'Retirement Planning'!$J$56)*'Retirement Planning'!$I$57+'Retirement Planning'!$K$56,(SUM(Z444:Z455)-'Retirement Planning'!$I$54-'Retirement Planning'!$I$61)*'Retirement Planning'!$I$56))))))/12,AA455)</f>
        <v>5825.593847770705</v>
      </c>
      <c r="AB456" s="104">
        <f t="shared" ca="1" si="193"/>
        <v>0.28817647237083821</v>
      </c>
      <c r="AC456" s="7">
        <f>IF(B456&lt;65,'Retirement Planning'!$J$28,0)</f>
        <v>0</v>
      </c>
      <c r="AD456" s="7">
        <f>IF(B456&lt;65,'Retirement Planning'!$J$29/12,0)</f>
        <v>0</v>
      </c>
      <c r="AE456" s="22">
        <f>'Retirement Planning'!$J$31/12</f>
        <v>58.333333333333336</v>
      </c>
      <c r="AF456" s="22">
        <f>'Retirement Planning'!$J$32/12</f>
        <v>66.666666666666671</v>
      </c>
      <c r="AG456" s="7">
        <f>IF($B456&gt;64.9,'Retirement Planning'!$J$39/12,0)</f>
        <v>183.33333333333334</v>
      </c>
      <c r="AH456" s="7">
        <f>IF($B456&gt;64.9,'Retirement Planning'!$J$40/12,0)</f>
        <v>258.33333333333331</v>
      </c>
      <c r="AI456" s="7">
        <f>IF($B456&gt;64.9,'Retirement Planning'!$J$41/12,0)</f>
        <v>558.33333333333337</v>
      </c>
      <c r="AJ456" s="7">
        <f t="shared" ca="1" si="176"/>
        <v>316.66666666666663</v>
      </c>
      <c r="AK456" s="3" t="str">
        <f t="shared" ca="1" si="190"/>
        <v>N/A</v>
      </c>
      <c r="AL456" s="6" t="str">
        <f t="shared" ca="1" si="191"/>
        <v>N/A</v>
      </c>
      <c r="AM456" s="7">
        <f t="shared" ca="1" si="177"/>
        <v>-6.8212102632969618E-13</v>
      </c>
      <c r="AN456" s="7">
        <f t="shared" ca="1" si="178"/>
        <v>25489.673107455685</v>
      </c>
      <c r="AO456" s="7">
        <f t="shared" si="179"/>
        <v>1125</v>
      </c>
    </row>
    <row r="457" spans="1:41" x14ac:dyDescent="0.2">
      <c r="A457">
        <f t="shared" si="180"/>
        <v>50</v>
      </c>
      <c r="B457" s="5">
        <f t="shared" si="181"/>
        <v>93.5</v>
      </c>
      <c r="C457" s="56">
        <f t="shared" si="182"/>
        <v>60023</v>
      </c>
      <c r="D457" s="57">
        <f ca="1">IF(AND(B456&lt;59.5,OR(B457&gt;59.5,B457=59.5)),(D456-E456+J456-K456)*(1+'Retirement Planning'!$J$23/12),(D456-E456)*(1+'Retirement Planning'!$J$23/12))</f>
        <v>1398994.6086714433</v>
      </c>
      <c r="E457" s="58">
        <f t="shared" ca="1" si="171"/>
        <v>2532.3054608249549</v>
      </c>
      <c r="F457" s="57">
        <f ca="1">IF(AND(OR(B457&gt;59.5,B457=59.5),B456&lt;59.5),(F456-G456+L456-M456+N456-O456)*(1+'Retirement Planning'!$J$23/12),(F456-G456)*(1+'Retirement Planning'!$J$23/12))</f>
        <v>246923.26130033165</v>
      </c>
      <c r="G457" s="58">
        <f ca="1">IF(AND($B$10&lt;55,B457&lt;59.5),'Retirement Planning'!$J$25,IF(OR(B457&gt;59.5,B457=59.5),MAX(0,MIN(F457,IF(D457&lt;2500,((Y457+AJ457+AA457))-X457,((Y457+AJ457+AA457)*'Retirement Planning'!$J$44)-X457))),0))</f>
        <v>18778.285217039109</v>
      </c>
      <c r="H457" s="255">
        <f ca="1">IF(MONTH(C457)=1,IF(B457&gt;69.5,F457/(INDEX('Retirement Planning'!D$1:D$264,(160+INT(B457))))/12,0),IF(F457=0,0,H456))</f>
        <v>5346.4905665636252</v>
      </c>
      <c r="I457" s="262">
        <f t="shared" ca="1" si="172"/>
        <v>0</v>
      </c>
      <c r="J457" s="254">
        <f ca="1">IF(AND(B456&lt;59.5,OR(B457=59.5,B457&gt;59.5)),0,(J456-K456)*(1+'Retirement Planning'!$J$23/12))</f>
        <v>0</v>
      </c>
      <c r="K457" s="58">
        <f t="shared" ca="1" si="173"/>
        <v>0</v>
      </c>
      <c r="L457" s="57">
        <f>IF(AND(OR(B457&gt;59.5,B457=59.5),B456&lt;59.5),0,(L456-M456)*(1+'Retirement Planning'!$J$23/12))</f>
        <v>0</v>
      </c>
      <c r="M457" s="59">
        <f>IF(AND($B$10&lt;55,B457&lt;59.5),0,IF(B457&lt;59.5,MAX(0,MIN((($Y457+$AJ457+AA457)*'Retirement Planning'!$J$44)-$G457-$X457,L457)),0))</f>
        <v>0</v>
      </c>
      <c r="N457" s="57">
        <f ca="1">(N456-O456)*(1+'Retirement Planning'!$J$23/12)</f>
        <v>0</v>
      </c>
      <c r="O457" s="59">
        <f ca="1">IF(B457&gt;59.5,MAX(0,MIN((AA457+$Y457+$AJ457)*(IF(D457&lt;(MIN(E445:E456)+1),1,'Retirement Planning'!$J$44))-M457-$G457-$X457-(IF(D457&lt;(MIN(E445:E456)+1),D457,0)),N457)),0)</f>
        <v>0</v>
      </c>
      <c r="P457" s="57">
        <f t="shared" si="183"/>
        <v>0</v>
      </c>
      <c r="Q457" s="58">
        <f t="shared" si="184"/>
        <v>0</v>
      </c>
      <c r="R457" s="57">
        <f ca="1">(R456-S456-T456)*(1+'Retirement Planning'!$J$23/12)</f>
        <v>2180287.0009374782</v>
      </c>
      <c r="S457" s="58">
        <f t="shared" ca="1" si="185"/>
        <v>808.33333333333337</v>
      </c>
      <c r="T457" s="273">
        <f t="shared" ca="1" si="174"/>
        <v>-4.7748471843078732E-12</v>
      </c>
      <c r="U457" s="57">
        <f ca="1">(U456-V456)*(1+'Retirement Planning'!$J$23/12)</f>
        <v>1133412.6212516641</v>
      </c>
      <c r="V457" s="24">
        <f ca="1">IF(AND($B$10&lt;55,B457&lt;59.5),MIN(U457,MAX(0,(Y457+AA457+AJ457-G457)*'Retirement Planning'!$J$45)),IF(B457&lt;59.5,(MIN(U457,MAX(0,((Y457+AA457+AJ457)-G457-M457)*'Retirement Planning'!$J$45))),MIN(U457,MAX(0,(Y457+AA457+AJ457-G457-M457-K457-X457)*'Retirement Planning'!$J$45))))</f>
        <v>2157.149096258292</v>
      </c>
      <c r="W457" s="7">
        <f t="shared" ca="1" si="175"/>
        <v>4959617.4921609173</v>
      </c>
      <c r="X457" s="7">
        <f>(IF(B457&gt;'Retirement Planning'!$J$34,IF('Retirement Planning'!$J$34=70,'Retirement Planning'!$J$37/12,IF('Retirement Planning'!$J$34=67,'Retirement Planning'!$J$36/12,'Retirement Planning'!$J$35/12)),0))*'Retirement Planning'!$J$38</f>
        <v>1213.6000000000001</v>
      </c>
      <c r="Y457" s="7">
        <f ca="1">'Retirement Planning'!$F$35*((1+'Retirement Planning'!$J$24)^(YEAR('Projected Retirement Drawdown'!C457)-YEAR(TODAY())))</f>
        <v>18539.079259684979</v>
      </c>
      <c r="Z457" s="7">
        <f ca="1">G457+M457+O457+0.85*X457+V457*'Retirement Planning'!$J$46+T457</f>
        <v>20996.277219981166</v>
      </c>
      <c r="AA457" s="7">
        <f ca="1">IF(MONTH(C457)=1,(((MIN(MAX(0,((SUM(Z445:Z456)-'Retirement Planning'!$I$53-'Retirement Planning'!$I$54)-'Retirement Planning'!$J$51)*'Retirement Planning'!$I$52))))+(MIN(MAX(0,((SUM(Z445:Z456)-'Retirement Planning'!$I$53-'Retirement Planning'!$I$54)-'Retirement Planning'!$J$50)*'Retirement Planning'!$I$51),('Retirement Planning'!$J$51-'Retirement Planning'!$J$50)*'Retirement Planning'!$I$51))+(MIN(MAX(0,((SUM(Z445:Z456)-'Retirement Planning'!$I$53-'Retirement Planning'!$I$54)-'Retirement Planning'!$J$49)*'Retirement Planning'!$I$50),('Retirement Planning'!$J$50-'Retirement Planning'!$J$49)*'Retirement Planning'!$I$50)+MIN(MAX(0,((SUM(Z445:Z456)-'Retirement Planning'!$I$53-'Retirement Planning'!$I$54)-'Retirement Planning'!$J$48)*'Retirement Planning'!$I$49),('Retirement Planning'!$J$49-'Retirement Planning'!$J$48)*'Retirement Planning'!$I$49)+MIN(((SUM(Z445:Z456)-'Retirement Planning'!$I$53-'Retirement Planning'!$I$54))*'Retirement Planning'!$I$48,('Retirement Planning'!$J$48)*'Retirement Planning'!$I$48))+(IF((SUM(Z445:Z456)-'Retirement Planning'!$I$54-'Retirement Planning'!$I$61)&gt;'Retirement Planning'!$J$59,(SUM(Z445:Z456)-'Retirement Planning'!$I$54-'Retirement Planning'!$I$61-'Retirement Planning'!$J$59)*'Retirement Planning'!$I$60+'Retirement Planning'!$K$59,IF((SUM(Z445:Z456)-'Retirement Planning'!$I$54-'Retirement Planning'!$I$61)&gt;'Retirement Planning'!$J$58,(SUM(Z445:Z456)-'Retirement Planning'!$I$54-'Retirement Planning'!$I$61-'Retirement Planning'!$J$58)*'Retirement Planning'!$I$59+'Retirement Planning'!$K$58,IF((SUM(Z445:Z456)-'Retirement Planning'!$I$54-'Retirement Planning'!$I$61)&gt;'Retirement Planning'!$J$57,(SUM(Z445:Z456)-'Retirement Planning'!$I$54-'Retirement Planning'!$I$61-'Retirement Planning'!$J$57)*'Retirement Planning'!$I$58+'Retirement Planning'!$K$57,IF((SUM(Z445:Z456)-'Retirement Planning'!$I$54-'Retirement Planning'!$I$61)&gt;'Retirement Planning'!$J$56,(SUM(Z445:Z456)-'Retirement Planning'!$I$54-'Retirement Planning'!$I$61-'Retirement Planning'!$J$56)*'Retirement Planning'!$I$57+'Retirement Planning'!$K$56,(SUM(Z445:Z456)-'Retirement Planning'!$I$54-'Retirement Planning'!$I$61)*'Retirement Planning'!$I$56))))))/12,AA456)</f>
        <v>5825.593847770705</v>
      </c>
      <c r="AB457" s="104">
        <f t="shared" ca="1" si="193"/>
        <v>0.28817647237083821</v>
      </c>
      <c r="AC457" s="7">
        <f>IF(B457&lt;65,'Retirement Planning'!$J$28,0)</f>
        <v>0</v>
      </c>
      <c r="AD457" s="7">
        <f>IF(B457&lt;65,'Retirement Planning'!$J$29/12,0)</f>
        <v>0</v>
      </c>
      <c r="AE457" s="22">
        <f>'Retirement Planning'!$J$31/12</f>
        <v>58.333333333333336</v>
      </c>
      <c r="AF457" s="22">
        <f>'Retirement Planning'!$J$32/12</f>
        <v>66.666666666666671</v>
      </c>
      <c r="AG457" s="7">
        <f>IF($B457&gt;64.9,'Retirement Planning'!$J$39/12,0)</f>
        <v>183.33333333333334</v>
      </c>
      <c r="AH457" s="7">
        <f>IF($B457&gt;64.9,'Retirement Planning'!$J$40/12,0)</f>
        <v>258.33333333333331</v>
      </c>
      <c r="AI457" s="7">
        <f>IF($B457&gt;64.9,'Retirement Planning'!$J$41/12,0)</f>
        <v>558.33333333333337</v>
      </c>
      <c r="AJ457" s="7">
        <f t="shared" ca="1" si="176"/>
        <v>316.66666666666663</v>
      </c>
      <c r="AK457" s="3" t="str">
        <f t="shared" ca="1" si="190"/>
        <v>N/A</v>
      </c>
      <c r="AL457" s="6" t="str">
        <f t="shared" ca="1" si="191"/>
        <v>N/A</v>
      </c>
      <c r="AM457" s="7">
        <f t="shared" ca="1" si="177"/>
        <v>-6.8212102632969618E-13</v>
      </c>
      <c r="AN457" s="7">
        <f t="shared" ca="1" si="178"/>
        <v>25489.673107455685</v>
      </c>
      <c r="AO457" s="7">
        <f t="shared" si="179"/>
        <v>1125</v>
      </c>
    </row>
    <row r="458" spans="1:41" x14ac:dyDescent="0.2">
      <c r="A458">
        <f t="shared" si="180"/>
        <v>50</v>
      </c>
      <c r="B458" s="5">
        <f t="shared" si="181"/>
        <v>93.6</v>
      </c>
      <c r="C458" s="56">
        <f t="shared" si="182"/>
        <v>60054</v>
      </c>
      <c r="D458" s="57">
        <f ca="1">IF(AND(B457&lt;59.5,OR(B458&gt;59.5,B458=59.5)),(D457-E457+J457-K457)*(1+'Retirement Planning'!$J$23/12),(D457-E457)*(1+'Retirement Planning'!$J$23/12))</f>
        <v>1406353.9111916937</v>
      </c>
      <c r="E458" s="58">
        <f t="shared" ca="1" si="171"/>
        <v>2532.3054608249549</v>
      </c>
      <c r="F458" s="57">
        <f ca="1">IF(AND(OR(B458&gt;59.5,B458=59.5),B457&lt;59.5),(F457-G457+L457-M457+N457-O457)*(1+'Retirement Planning'!$J$23/12),(F457-G457)*(1+'Retirement Planning'!$J$23/12))</f>
        <v>229761.00299721587</v>
      </c>
      <c r="G458" s="58">
        <f ca="1">IF(AND($B$10&lt;55,B458&lt;59.5),'Retirement Planning'!$J$25,IF(OR(B458&gt;59.5,B458=59.5),MAX(0,MIN(F458,IF(D458&lt;2500,((Y458+AJ458+AA458))-X458,((Y458+AJ458+AA458)*'Retirement Planning'!$J$44)-X458))),0))</f>
        <v>18778.285217039109</v>
      </c>
      <c r="H458" s="255">
        <f ca="1">IF(MONTH(C458)=1,IF(B458&gt;69.5,F458/(INDEX('Retirement Planning'!D$1:D$264,(160+INT(B458))))/12,0),IF(F458=0,0,H457))</f>
        <v>5346.4905665636252</v>
      </c>
      <c r="I458" s="262">
        <f t="shared" ca="1" si="172"/>
        <v>0</v>
      </c>
      <c r="J458" s="254">
        <f ca="1">IF(AND(B457&lt;59.5,OR(B458=59.5,B458&gt;59.5)),0,(J457-K457)*(1+'Retirement Planning'!$J$23/12))</f>
        <v>0</v>
      </c>
      <c r="K458" s="58">
        <f t="shared" ca="1" si="173"/>
        <v>0</v>
      </c>
      <c r="L458" s="57">
        <f>IF(AND(OR(B458&gt;59.5,B458=59.5),B457&lt;59.5),0,(L457-M457)*(1+'Retirement Planning'!$J$23/12))</f>
        <v>0</v>
      </c>
      <c r="M458" s="59">
        <f>IF(AND($B$10&lt;55,B458&lt;59.5),0,IF(B458&lt;59.5,MAX(0,MIN((($Y458+$AJ458+AA458)*'Retirement Planning'!$J$44)-$G458-$X458,L458)),0))</f>
        <v>0</v>
      </c>
      <c r="N458" s="57">
        <f ca="1">(N457-O457)*(1+'Retirement Planning'!$J$23/12)</f>
        <v>0</v>
      </c>
      <c r="O458" s="59">
        <f ca="1">IF(B458&gt;59.5,MAX(0,MIN((AA458+$Y458+$AJ458)*(IF(D458&lt;(MIN(E446:E457)+1),1,'Retirement Planning'!$J$44))-M458-$G458-$X458-(IF(D458&lt;(MIN(E446:E457)+1),D458,0)),N458)),0)</f>
        <v>0</v>
      </c>
      <c r="P458" s="57">
        <f t="shared" si="183"/>
        <v>0</v>
      </c>
      <c r="Q458" s="58">
        <f t="shared" si="184"/>
        <v>0</v>
      </c>
      <c r="R458" s="57">
        <f ca="1">(R457-S457-T457)*(1+'Retirement Planning'!$J$23/12)</f>
        <v>2194916.6414996739</v>
      </c>
      <c r="S458" s="58">
        <f t="shared" ca="1" si="185"/>
        <v>808.33333333333337</v>
      </c>
      <c r="T458" s="273">
        <f t="shared" ca="1" si="174"/>
        <v>-4.7748471843078732E-12</v>
      </c>
      <c r="U458" s="57">
        <f ca="1">(U457-V457)*(1+'Retirement Planning'!$J$23/12)</f>
        <v>1139268.5317498401</v>
      </c>
      <c r="V458" s="24">
        <f ca="1">IF(AND($B$10&lt;55,B458&lt;59.5),MIN(U458,MAX(0,(Y458+AA458+AJ458-G458)*'Retirement Planning'!$J$45)),IF(B458&lt;59.5,(MIN(U458,MAX(0,((Y458+AA458+AJ458)-G458-M458)*'Retirement Planning'!$J$45))),MIN(U458,MAX(0,(Y458+AA458+AJ458-G458-M458-K458-X458)*'Retirement Planning'!$J$45))))</f>
        <v>2157.149096258292</v>
      </c>
      <c r="W458" s="7">
        <f t="shared" ca="1" si="175"/>
        <v>4970300.0874384232</v>
      </c>
      <c r="X458" s="7">
        <f>(IF(B458&gt;'Retirement Planning'!$J$34,IF('Retirement Planning'!$J$34=70,'Retirement Planning'!$J$37/12,IF('Retirement Planning'!$J$34=67,'Retirement Planning'!$J$36/12,'Retirement Planning'!$J$35/12)),0))*'Retirement Planning'!$J$38</f>
        <v>1213.6000000000001</v>
      </c>
      <c r="Y458" s="7">
        <f ca="1">'Retirement Planning'!$F$35*((1+'Retirement Planning'!$J$24)^(YEAR('Projected Retirement Drawdown'!C458)-YEAR(TODAY())))</f>
        <v>18539.079259684979</v>
      </c>
      <c r="Z458" s="7">
        <f ca="1">G458+M458+O458+0.85*X458+V458*'Retirement Planning'!$J$46+T458</f>
        <v>20996.277219981166</v>
      </c>
      <c r="AA458" s="7">
        <f ca="1">IF(MONTH(C458)=1,(((MIN(MAX(0,((SUM(Z446:Z457)-'Retirement Planning'!$I$53-'Retirement Planning'!$I$54)-'Retirement Planning'!$J$51)*'Retirement Planning'!$I$52))))+(MIN(MAX(0,((SUM(Z446:Z457)-'Retirement Planning'!$I$53-'Retirement Planning'!$I$54)-'Retirement Planning'!$J$50)*'Retirement Planning'!$I$51),('Retirement Planning'!$J$51-'Retirement Planning'!$J$50)*'Retirement Planning'!$I$51))+(MIN(MAX(0,((SUM(Z446:Z457)-'Retirement Planning'!$I$53-'Retirement Planning'!$I$54)-'Retirement Planning'!$J$49)*'Retirement Planning'!$I$50),('Retirement Planning'!$J$50-'Retirement Planning'!$J$49)*'Retirement Planning'!$I$50)+MIN(MAX(0,((SUM(Z446:Z457)-'Retirement Planning'!$I$53-'Retirement Planning'!$I$54)-'Retirement Planning'!$J$48)*'Retirement Planning'!$I$49),('Retirement Planning'!$J$49-'Retirement Planning'!$J$48)*'Retirement Planning'!$I$49)+MIN(((SUM(Z446:Z457)-'Retirement Planning'!$I$53-'Retirement Planning'!$I$54))*'Retirement Planning'!$I$48,('Retirement Planning'!$J$48)*'Retirement Planning'!$I$48))+(IF((SUM(Z446:Z457)-'Retirement Planning'!$I$54-'Retirement Planning'!$I$61)&gt;'Retirement Planning'!$J$59,(SUM(Z446:Z457)-'Retirement Planning'!$I$54-'Retirement Planning'!$I$61-'Retirement Planning'!$J$59)*'Retirement Planning'!$I$60+'Retirement Planning'!$K$59,IF((SUM(Z446:Z457)-'Retirement Planning'!$I$54-'Retirement Planning'!$I$61)&gt;'Retirement Planning'!$J$58,(SUM(Z446:Z457)-'Retirement Planning'!$I$54-'Retirement Planning'!$I$61-'Retirement Planning'!$J$58)*'Retirement Planning'!$I$59+'Retirement Planning'!$K$58,IF((SUM(Z446:Z457)-'Retirement Planning'!$I$54-'Retirement Planning'!$I$61)&gt;'Retirement Planning'!$J$57,(SUM(Z446:Z457)-'Retirement Planning'!$I$54-'Retirement Planning'!$I$61-'Retirement Planning'!$J$57)*'Retirement Planning'!$I$58+'Retirement Planning'!$K$57,IF((SUM(Z446:Z457)-'Retirement Planning'!$I$54-'Retirement Planning'!$I$61)&gt;'Retirement Planning'!$J$56,(SUM(Z446:Z457)-'Retirement Planning'!$I$54-'Retirement Planning'!$I$61-'Retirement Planning'!$J$56)*'Retirement Planning'!$I$57+'Retirement Planning'!$K$56,(SUM(Z446:Z457)-'Retirement Planning'!$I$54-'Retirement Planning'!$I$61)*'Retirement Planning'!$I$56))))))/12,AA457)</f>
        <v>5825.593847770705</v>
      </c>
      <c r="AB458" s="104">
        <f t="shared" ca="1" si="193"/>
        <v>0.28817647237083821</v>
      </c>
      <c r="AC458" s="7">
        <f>IF(B458&lt;65,'Retirement Planning'!$J$28,0)</f>
        <v>0</v>
      </c>
      <c r="AD458" s="7">
        <f>IF(B458&lt;65,'Retirement Planning'!$J$29/12,0)</f>
        <v>0</v>
      </c>
      <c r="AE458" s="22">
        <f>'Retirement Planning'!$J$31/12</f>
        <v>58.333333333333336</v>
      </c>
      <c r="AF458" s="22">
        <f>'Retirement Planning'!$J$32/12</f>
        <v>66.666666666666671</v>
      </c>
      <c r="AG458" s="7">
        <f>IF($B458&gt;64.9,'Retirement Planning'!$J$39/12,0)</f>
        <v>183.33333333333334</v>
      </c>
      <c r="AH458" s="7">
        <f>IF($B458&gt;64.9,'Retirement Planning'!$J$40/12,0)</f>
        <v>258.33333333333331</v>
      </c>
      <c r="AI458" s="7">
        <f>IF($B458&gt;64.9,'Retirement Planning'!$J$41/12,0)</f>
        <v>558.33333333333337</v>
      </c>
      <c r="AJ458" s="7">
        <f t="shared" ca="1" si="176"/>
        <v>316.66666666666663</v>
      </c>
      <c r="AK458" s="3" t="str">
        <f t="shared" ca="1" si="190"/>
        <v>N/A</v>
      </c>
      <c r="AL458" s="6" t="str">
        <f t="shared" ca="1" si="191"/>
        <v>N/A</v>
      </c>
      <c r="AM458" s="7">
        <f t="shared" ca="1" si="177"/>
        <v>-6.8212102632969618E-13</v>
      </c>
      <c r="AN458" s="7">
        <f t="shared" ca="1" si="178"/>
        <v>25489.673107455685</v>
      </c>
      <c r="AO458" s="7">
        <f t="shared" si="179"/>
        <v>1125</v>
      </c>
    </row>
    <row r="459" spans="1:41" x14ac:dyDescent="0.2">
      <c r="A459">
        <f t="shared" si="180"/>
        <v>50</v>
      </c>
      <c r="B459" s="5">
        <f t="shared" si="181"/>
        <v>93.7</v>
      </c>
      <c r="C459" s="56">
        <f t="shared" si="182"/>
        <v>60084</v>
      </c>
      <c r="D459" s="57">
        <f ca="1">IF(AND(B458&lt;59.5,OR(B459&gt;59.5,B459=59.5)),(D458-E458+J458-K458)*(1+'Retirement Planning'!$J$23/12),(D458-E458)*(1+'Retirement Planning'!$J$23/12))</f>
        <v>1413765.3421047959</v>
      </c>
      <c r="E459" s="58">
        <f t="shared" ref="E459:E505" ca="1" si="198">MIN(D459,MAX(0,Y459+AA459+AJ459-X459-V459-M459-G459-K459))</f>
        <v>2532.3054608249549</v>
      </c>
      <c r="F459" s="57">
        <f ca="1">IF(AND(OR(B459&gt;59.5,B459=59.5),B458&lt;59.5),(F458-G458+L458-M458+N458-O458)*(1+'Retirement Planning'!$J$23/12),(F458-G458)*(1+'Retirement Planning'!$J$23/12))</f>
        <v>212477.17869778635</v>
      </c>
      <c r="G459" s="58">
        <f ca="1">IF(AND($B$10&lt;55,B459&lt;59.5),'Retirement Planning'!$J$25,IF(OR(B459&gt;59.5,B459=59.5),MAX(0,MIN(F459,IF(D459&lt;2500,((Y459+AJ459+AA459))-X459,((Y459+AJ459+AA459)*'Retirement Planning'!$J$44)-X459))),0))</f>
        <v>18778.285217039109</v>
      </c>
      <c r="H459" s="255">
        <f ca="1">IF(MONTH(C459)=1,IF(B459&gt;69.5,F459/(INDEX('Retirement Planning'!D$1:D$264,(160+INT(B459))))/12,0),IF(F459=0,0,H458))</f>
        <v>5346.4905665636252</v>
      </c>
      <c r="I459" s="262">
        <f t="shared" ref="I459:I505" ca="1" si="199">MAX(0,H459-G459)</f>
        <v>0</v>
      </c>
      <c r="J459" s="254">
        <f ca="1">IF(AND(B458&lt;59.5,OR(B459=59.5,B459&gt;59.5)),0,(J458-K458)*(1+'Retirement Planning'!$J$23/12))</f>
        <v>0</v>
      </c>
      <c r="K459" s="58">
        <f t="shared" ref="K459:K505" ca="1" si="200">IF(B459&gt;59.5,MAX(0,MIN(J459,AA459+Y459+AJ459-O459-M459-G459-X459)),0)</f>
        <v>0</v>
      </c>
      <c r="L459" s="57">
        <f>IF(AND(OR(B459&gt;59.5,B459=59.5),B458&lt;59.5),0,(L458-M458)*(1+'Retirement Planning'!$J$23/12))</f>
        <v>0</v>
      </c>
      <c r="M459" s="59">
        <f>IF(AND($B$10&lt;55,B459&lt;59.5),0,IF(B459&lt;59.5,MAX(0,MIN((($Y459+$AJ459+AA459)*'Retirement Planning'!$J$44)-$G459-$X459,L459)),0))</f>
        <v>0</v>
      </c>
      <c r="N459" s="57">
        <f ca="1">(N458-O458)*(1+'Retirement Planning'!$J$23/12)</f>
        <v>0</v>
      </c>
      <c r="O459" s="59">
        <f ca="1">IF(B459&gt;59.5,MAX(0,MIN((AA459+$Y459+$AJ459)*(IF(D459&lt;(MIN(E447:E458)+1),1,'Retirement Planning'!$J$44))-M459-$G459-$X459-(IF(D459&lt;(MIN(E447:E458)+1),D459,0)),N459)),0)</f>
        <v>0</v>
      </c>
      <c r="P459" s="57">
        <f t="shared" si="183"/>
        <v>0</v>
      </c>
      <c r="Q459" s="58">
        <f t="shared" si="184"/>
        <v>0</v>
      </c>
      <c r="R459" s="57">
        <f ca="1">(R458-S458-T458)*(1+'Retirement Planning'!$J$23/12)</f>
        <v>2209649.9086825186</v>
      </c>
      <c r="S459" s="58">
        <f t="shared" ca="1" si="185"/>
        <v>808.33333333333337</v>
      </c>
      <c r="T459" s="273">
        <f t="shared" ref="T459:T505" ca="1" si="201">MIN(AN459-E459-G459-K459-M459-O459-Q459-S459-V459-X459,R459-S459)</f>
        <v>-4.7748471843078732E-12</v>
      </c>
      <c r="U459" s="57">
        <f ca="1">(U458-V458)*(1+'Retirement Planning'!$J$23/12)</f>
        <v>1145165.9216140448</v>
      </c>
      <c r="V459" s="24">
        <f ca="1">IF(AND($B$10&lt;55,B459&lt;59.5),MIN(U459,MAX(0,(Y459+AA459+AJ459-G459)*'Retirement Planning'!$J$45)),IF(B459&lt;59.5,(MIN(U459,MAX(0,((Y459+AA459+AJ459)-G459-M459)*'Retirement Planning'!$J$45))),MIN(U459,MAX(0,(Y459+AA459+AJ459-G459-M459-K459-X459)*'Retirement Planning'!$J$45))))</f>
        <v>2157.149096258292</v>
      </c>
      <c r="W459" s="7">
        <f t="shared" ref="W459:W505" ca="1" si="202">D459+F459+J459+L459+N459+P459+R459+U459</f>
        <v>4981058.3510991456</v>
      </c>
      <c r="X459" s="7">
        <f>(IF(B459&gt;'Retirement Planning'!$J$34,IF('Retirement Planning'!$J$34=70,'Retirement Planning'!$J$37/12,IF('Retirement Planning'!$J$34=67,'Retirement Planning'!$J$36/12,'Retirement Planning'!$J$35/12)),0))*'Retirement Planning'!$J$38</f>
        <v>1213.6000000000001</v>
      </c>
      <c r="Y459" s="7">
        <f ca="1">'Retirement Planning'!$F$35*((1+'Retirement Planning'!$J$24)^(YEAR('Projected Retirement Drawdown'!C459)-YEAR(TODAY())))</f>
        <v>18539.079259684979</v>
      </c>
      <c r="Z459" s="7">
        <f ca="1">G459+M459+O459+0.85*X459+V459*'Retirement Planning'!$J$46+T459</f>
        <v>20996.277219981166</v>
      </c>
      <c r="AA459" s="7">
        <f ca="1">IF(MONTH(C459)=1,(((MIN(MAX(0,((SUM(Z447:Z458)-'Retirement Planning'!$I$53-'Retirement Planning'!$I$54)-'Retirement Planning'!$J$51)*'Retirement Planning'!$I$52))))+(MIN(MAX(0,((SUM(Z447:Z458)-'Retirement Planning'!$I$53-'Retirement Planning'!$I$54)-'Retirement Planning'!$J$50)*'Retirement Planning'!$I$51),('Retirement Planning'!$J$51-'Retirement Planning'!$J$50)*'Retirement Planning'!$I$51))+(MIN(MAX(0,((SUM(Z447:Z458)-'Retirement Planning'!$I$53-'Retirement Planning'!$I$54)-'Retirement Planning'!$J$49)*'Retirement Planning'!$I$50),('Retirement Planning'!$J$50-'Retirement Planning'!$J$49)*'Retirement Planning'!$I$50)+MIN(MAX(0,((SUM(Z447:Z458)-'Retirement Planning'!$I$53-'Retirement Planning'!$I$54)-'Retirement Planning'!$J$48)*'Retirement Planning'!$I$49),('Retirement Planning'!$J$49-'Retirement Planning'!$J$48)*'Retirement Planning'!$I$49)+MIN(((SUM(Z447:Z458)-'Retirement Planning'!$I$53-'Retirement Planning'!$I$54))*'Retirement Planning'!$I$48,('Retirement Planning'!$J$48)*'Retirement Planning'!$I$48))+(IF((SUM(Z447:Z458)-'Retirement Planning'!$I$54-'Retirement Planning'!$I$61)&gt;'Retirement Planning'!$J$59,(SUM(Z447:Z458)-'Retirement Planning'!$I$54-'Retirement Planning'!$I$61-'Retirement Planning'!$J$59)*'Retirement Planning'!$I$60+'Retirement Planning'!$K$59,IF((SUM(Z447:Z458)-'Retirement Planning'!$I$54-'Retirement Planning'!$I$61)&gt;'Retirement Planning'!$J$58,(SUM(Z447:Z458)-'Retirement Planning'!$I$54-'Retirement Planning'!$I$61-'Retirement Planning'!$J$58)*'Retirement Planning'!$I$59+'Retirement Planning'!$K$58,IF((SUM(Z447:Z458)-'Retirement Planning'!$I$54-'Retirement Planning'!$I$61)&gt;'Retirement Planning'!$J$57,(SUM(Z447:Z458)-'Retirement Planning'!$I$54-'Retirement Planning'!$I$61-'Retirement Planning'!$J$57)*'Retirement Planning'!$I$58+'Retirement Planning'!$K$57,IF((SUM(Z447:Z458)-'Retirement Planning'!$I$54-'Retirement Planning'!$I$61)&gt;'Retirement Planning'!$J$56,(SUM(Z447:Z458)-'Retirement Planning'!$I$54-'Retirement Planning'!$I$61-'Retirement Planning'!$J$56)*'Retirement Planning'!$I$57+'Retirement Planning'!$K$56,(SUM(Z447:Z458)-'Retirement Planning'!$I$54-'Retirement Planning'!$I$61)*'Retirement Planning'!$I$56))))))/12,AA458)</f>
        <v>5825.593847770705</v>
      </c>
      <c r="AB459" s="104">
        <f t="shared" ca="1" si="193"/>
        <v>0.28817647237083821</v>
      </c>
      <c r="AC459" s="7">
        <f>IF(B459&lt;65,'Retirement Planning'!$J$28,0)</f>
        <v>0</v>
      </c>
      <c r="AD459" s="7">
        <f>IF(B459&lt;65,'Retirement Planning'!$J$29/12,0)</f>
        <v>0</v>
      </c>
      <c r="AE459" s="22">
        <f>'Retirement Planning'!$J$31/12</f>
        <v>58.333333333333336</v>
      </c>
      <c r="AF459" s="22">
        <f>'Retirement Planning'!$J$32/12</f>
        <v>66.666666666666671</v>
      </c>
      <c r="AG459" s="7">
        <f>IF($B459&gt;64.9,'Retirement Planning'!$J$39/12,0)</f>
        <v>183.33333333333334</v>
      </c>
      <c r="AH459" s="7">
        <f>IF($B459&gt;64.9,'Retirement Planning'!$J$40/12,0)</f>
        <v>258.33333333333331</v>
      </c>
      <c r="AI459" s="7">
        <f>IF($B459&gt;64.9,'Retirement Planning'!$J$41/12,0)</f>
        <v>558.33333333333337</v>
      </c>
      <c r="AJ459" s="7">
        <f t="shared" ref="AJ459:AJ505" ca="1" si="203">AC459+AD459+AE459+AF459+AG459+AH459+AI459-S459-Q459</f>
        <v>316.66666666666663</v>
      </c>
      <c r="AK459" s="3" t="str">
        <f t="shared" ca="1" si="190"/>
        <v>N/A</v>
      </c>
      <c r="AL459" s="6" t="str">
        <f t="shared" ca="1" si="191"/>
        <v>N/A</v>
      </c>
      <c r="AM459" s="7">
        <f t="shared" ref="AM459:AM505" ca="1" si="204">AA459+Y459+AC459+AD459+AE459+AF459+AG459+AH459+AI459-X459-S459-Q459-O459-M459-K459-G459-E459-V459-T459</f>
        <v>-6.8212102632969618E-13</v>
      </c>
      <c r="AN459" s="7">
        <f t="shared" ref="AN459:AN505" ca="1" si="205">AI459+AH459+AG459+AF459+AE459+AD459+AC459+AA459+Y459</f>
        <v>25489.673107455685</v>
      </c>
      <c r="AO459" s="7">
        <f t="shared" ref="AO459:AO505" si="206">AC459+AD459+AE459+AF459+AG459+AH459+AI459</f>
        <v>1125</v>
      </c>
    </row>
    <row r="460" spans="1:41" x14ac:dyDescent="0.2">
      <c r="A460">
        <f t="shared" ref="A460:A505" si="207">IF(AND(B460&gt;59.5,B459&lt;59.6),ROW(B460),A459)</f>
        <v>50</v>
      </c>
      <c r="B460" s="5">
        <f t="shared" ref="B460:B490" si="208">(INT((((YEAR(C460)-YEAR(DATE(1970,10,16)))*12+MONTH(C460)-MONTH(DATE(1970,10,16)))/12)*10))/10</f>
        <v>93.8</v>
      </c>
      <c r="C460" s="56">
        <f t="shared" ref="C460:C490" si="209">DATE(YEAR(C459),MONTH(C459)+1,1)</f>
        <v>60115</v>
      </c>
      <c r="D460" s="57">
        <f ca="1">IF(AND(B459&lt;59.5,OR(B460&gt;59.5,B460=59.5)),(D459-E459+J459-K459)*(1+'Retirement Planning'!$J$23/12),(D459-E459)*(1+'Retirement Planning'!$J$23/12))</f>
        <v>1421229.2706535324</v>
      </c>
      <c r="E460" s="58">
        <f t="shared" ca="1" si="198"/>
        <v>2532.3054608249549</v>
      </c>
      <c r="F460" s="57">
        <f ca="1">IF(AND(OR(B460&gt;59.5,B460=59.5),B459&lt;59.5),(F459-G459+L459-M459+N459-O459)*(1+'Retirement Planning'!$J$23/12),(F459-G459)*(1+'Retirement Planning'!$J$23/12))</f>
        <v>195070.9273095692</v>
      </c>
      <c r="G460" s="58">
        <f ca="1">IF(AND($B$10&lt;55,B460&lt;59.5),'Retirement Planning'!$J$25,IF(OR(B460&gt;59.5,B460=59.5),MAX(0,MIN(F460,IF(D460&lt;2500,((Y460+AJ460+AA460))-X460,((Y460+AJ460+AA460)*'Retirement Planning'!$J$44)-X460))),0))</f>
        <v>18778.285217039109</v>
      </c>
      <c r="H460" s="255">
        <f ca="1">IF(MONTH(C460)=1,IF(B460&gt;69.5,F460/(INDEX('Retirement Planning'!D$1:D$264,(160+INT(B460))))/12,0),IF(F460=0,0,H459))</f>
        <v>5346.4905665636252</v>
      </c>
      <c r="I460" s="262">
        <f t="shared" ca="1" si="199"/>
        <v>0</v>
      </c>
      <c r="J460" s="254">
        <f ca="1">IF(AND(B459&lt;59.5,OR(B460=59.5,B460&gt;59.5)),0,(J459-K459)*(1+'Retirement Planning'!$J$23/12))</f>
        <v>0</v>
      </c>
      <c r="K460" s="58">
        <f t="shared" ca="1" si="200"/>
        <v>0</v>
      </c>
      <c r="L460" s="57">
        <f>IF(AND(OR(B460&gt;59.5,B460=59.5),B459&lt;59.5),0,(L459-M459)*(1+'Retirement Planning'!$J$23/12))</f>
        <v>0</v>
      </c>
      <c r="M460" s="59">
        <f>IF(AND($B$10&lt;55,B460&lt;59.5),0,IF(B460&lt;59.5,MAX(0,MIN((($Y460+$AJ460+AA460)*'Retirement Planning'!$J$44)-$G460-$X460,L460)),0))</f>
        <v>0</v>
      </c>
      <c r="N460" s="57">
        <f ca="1">(N459-O459)*(1+'Retirement Planning'!$J$23/12)</f>
        <v>0</v>
      </c>
      <c r="O460" s="59">
        <f ca="1">IF(B460&gt;59.5,MAX(0,MIN((AA460+$Y460+$AJ460)*(IF(D460&lt;(MIN(E448:E459)+1),1,'Retirement Planning'!$J$44))-M460-$G460-$X460-(IF(D460&lt;(MIN(E448:E459)+1),D460,0)),N460)),0)</f>
        <v>0</v>
      </c>
      <c r="P460" s="57">
        <f t="shared" ref="P460:P505" si="210">P459-Q459</f>
        <v>0</v>
      </c>
      <c r="Q460" s="58">
        <f t="shared" ref="Q460:Q505" si="211">MIN(AC460+AE460+AH460,P460)</f>
        <v>0</v>
      </c>
      <c r="R460" s="57">
        <f ca="1">(R459-S459-T459)*(1+'Retirement Planning'!$J$23/12)</f>
        <v>2224487.5365079087</v>
      </c>
      <c r="S460" s="58">
        <f t="shared" ref="S460:S505" ca="1" si="212">MIN(AD460+AF460+AG460+AI460,R460)</f>
        <v>808.33333333333337</v>
      </c>
      <c r="T460" s="273">
        <f t="shared" ca="1" si="201"/>
        <v>-4.7748471843078732E-12</v>
      </c>
      <c r="U460" s="57">
        <f ca="1">(U459-V459)*(1+'Retirement Planning'!$J$23/12)</f>
        <v>1151105.0846564542</v>
      </c>
      <c r="V460" s="24">
        <f ca="1">IF(AND($B$10&lt;55,B460&lt;59.5),MIN(U460,MAX(0,(Y460+AA460+AJ460-G460)*'Retirement Planning'!$J$45)),IF(B460&lt;59.5,(MIN(U460,MAX(0,((Y460+AA460+AJ460)-G460-M460)*'Retirement Planning'!$J$45))),MIN(U460,MAX(0,(Y460+AA460+AJ460-G460-M460-K460-X460)*'Retirement Planning'!$J$45))))</f>
        <v>2157.149096258292</v>
      </c>
      <c r="W460" s="7">
        <f t="shared" ca="1" si="202"/>
        <v>4991892.8191274647</v>
      </c>
      <c r="X460" s="7">
        <f>(IF(B460&gt;'Retirement Planning'!$J$34,IF('Retirement Planning'!$J$34=70,'Retirement Planning'!$J$37/12,IF('Retirement Planning'!$J$34=67,'Retirement Planning'!$J$36/12,'Retirement Planning'!$J$35/12)),0))*'Retirement Planning'!$J$38</f>
        <v>1213.6000000000001</v>
      </c>
      <c r="Y460" s="7">
        <f ca="1">'Retirement Planning'!$F$35*((1+'Retirement Planning'!$J$24)^(YEAR('Projected Retirement Drawdown'!C460)-YEAR(TODAY())))</f>
        <v>18539.079259684979</v>
      </c>
      <c r="Z460" s="7">
        <f ca="1">G460+M460+O460+0.85*X460+V460*'Retirement Planning'!$J$46+T460</f>
        <v>20996.277219981166</v>
      </c>
      <c r="AA460" s="7">
        <f ca="1">IF(MONTH(C460)=1,(((MIN(MAX(0,((SUM(Z448:Z459)-'Retirement Planning'!$I$53-'Retirement Planning'!$I$54)-'Retirement Planning'!$J$51)*'Retirement Planning'!$I$52))))+(MIN(MAX(0,((SUM(Z448:Z459)-'Retirement Planning'!$I$53-'Retirement Planning'!$I$54)-'Retirement Planning'!$J$50)*'Retirement Planning'!$I$51),('Retirement Planning'!$J$51-'Retirement Planning'!$J$50)*'Retirement Planning'!$I$51))+(MIN(MAX(0,((SUM(Z448:Z459)-'Retirement Planning'!$I$53-'Retirement Planning'!$I$54)-'Retirement Planning'!$J$49)*'Retirement Planning'!$I$50),('Retirement Planning'!$J$50-'Retirement Planning'!$J$49)*'Retirement Planning'!$I$50)+MIN(MAX(0,((SUM(Z448:Z459)-'Retirement Planning'!$I$53-'Retirement Planning'!$I$54)-'Retirement Planning'!$J$48)*'Retirement Planning'!$I$49),('Retirement Planning'!$J$49-'Retirement Planning'!$J$48)*'Retirement Planning'!$I$49)+MIN(((SUM(Z448:Z459)-'Retirement Planning'!$I$53-'Retirement Planning'!$I$54))*'Retirement Planning'!$I$48,('Retirement Planning'!$J$48)*'Retirement Planning'!$I$48))+(IF((SUM(Z448:Z459)-'Retirement Planning'!$I$54-'Retirement Planning'!$I$61)&gt;'Retirement Planning'!$J$59,(SUM(Z448:Z459)-'Retirement Planning'!$I$54-'Retirement Planning'!$I$61-'Retirement Planning'!$J$59)*'Retirement Planning'!$I$60+'Retirement Planning'!$K$59,IF((SUM(Z448:Z459)-'Retirement Planning'!$I$54-'Retirement Planning'!$I$61)&gt;'Retirement Planning'!$J$58,(SUM(Z448:Z459)-'Retirement Planning'!$I$54-'Retirement Planning'!$I$61-'Retirement Planning'!$J$58)*'Retirement Planning'!$I$59+'Retirement Planning'!$K$58,IF((SUM(Z448:Z459)-'Retirement Planning'!$I$54-'Retirement Planning'!$I$61)&gt;'Retirement Planning'!$J$57,(SUM(Z448:Z459)-'Retirement Planning'!$I$54-'Retirement Planning'!$I$61-'Retirement Planning'!$J$57)*'Retirement Planning'!$I$58+'Retirement Planning'!$K$57,IF((SUM(Z448:Z459)-'Retirement Planning'!$I$54-'Retirement Planning'!$I$61)&gt;'Retirement Planning'!$J$56,(SUM(Z448:Z459)-'Retirement Planning'!$I$54-'Retirement Planning'!$I$61-'Retirement Planning'!$J$56)*'Retirement Planning'!$I$57+'Retirement Planning'!$K$56,(SUM(Z448:Z459)-'Retirement Planning'!$I$54-'Retirement Planning'!$I$61)*'Retirement Planning'!$I$56))))))/12,AA459)</f>
        <v>5825.593847770705</v>
      </c>
      <c r="AB460" s="104">
        <f t="shared" ca="1" si="193"/>
        <v>0.28817647237083821</v>
      </c>
      <c r="AC460" s="7">
        <f>IF(B460&lt;65,'Retirement Planning'!$J$28,0)</f>
        <v>0</v>
      </c>
      <c r="AD460" s="7">
        <f>IF(B460&lt;65,'Retirement Planning'!$J$29/12,0)</f>
        <v>0</v>
      </c>
      <c r="AE460" s="22">
        <f>'Retirement Planning'!$J$31/12</f>
        <v>58.333333333333336</v>
      </c>
      <c r="AF460" s="22">
        <f>'Retirement Planning'!$J$32/12</f>
        <v>66.666666666666671</v>
      </c>
      <c r="AG460" s="7">
        <f>IF($B460&gt;64.9,'Retirement Planning'!$J$39/12,0)</f>
        <v>183.33333333333334</v>
      </c>
      <c r="AH460" s="7">
        <f>IF($B460&gt;64.9,'Retirement Planning'!$J$40/12,0)</f>
        <v>258.33333333333331</v>
      </c>
      <c r="AI460" s="7">
        <f>IF($B460&gt;64.9,'Retirement Planning'!$J$41/12,0)</f>
        <v>558.33333333333337</v>
      </c>
      <c r="AJ460" s="7">
        <f t="shared" ca="1" si="203"/>
        <v>316.66666666666663</v>
      </c>
      <c r="AK460" s="3" t="str">
        <f t="shared" ca="1" si="190"/>
        <v>N/A</v>
      </c>
      <c r="AL460" s="6" t="str">
        <f t="shared" ca="1" si="191"/>
        <v>N/A</v>
      </c>
      <c r="AM460" s="7">
        <f t="shared" ca="1" si="204"/>
        <v>-6.8212102632969618E-13</v>
      </c>
      <c r="AN460" s="7">
        <f t="shared" ca="1" si="205"/>
        <v>25489.673107455685</v>
      </c>
      <c r="AO460" s="7">
        <f t="shared" si="206"/>
        <v>1125</v>
      </c>
    </row>
    <row r="461" spans="1:41" x14ac:dyDescent="0.2">
      <c r="A461">
        <f t="shared" si="207"/>
        <v>50</v>
      </c>
      <c r="B461" s="5">
        <f t="shared" si="208"/>
        <v>93.9</v>
      </c>
      <c r="C461" s="56">
        <f t="shared" si="209"/>
        <v>60146</v>
      </c>
      <c r="D461" s="57">
        <f ca="1">IF(AND(B460&lt;59.5,OR(B461&gt;59.5,B461=59.5)),(D460-E460+J460-K460)*(1+'Retirement Planning'!$J$23/12),(D460-E460)*(1+'Retirement Planning'!$J$23/12))</f>
        <v>1428746.0686961559</v>
      </c>
      <c r="E461" s="58">
        <f t="shared" ca="1" si="198"/>
        <v>2532.3054608249549</v>
      </c>
      <c r="F461" s="57">
        <f ca="1">IF(AND(OR(B461&gt;59.5,B461=59.5),B460&lt;59.5),(F460-G460+L460-M460+N460-O460)*(1+'Retirement Planning'!$J$23/12),(F460-G460)*(1+'Retirement Planning'!$J$23/12))</f>
        <v>177541.38164068552</v>
      </c>
      <c r="G461" s="58">
        <f ca="1">IF(AND($B$10&lt;55,B461&lt;59.5),'Retirement Planning'!$J$25,IF(OR(B461&gt;59.5,B461=59.5),MAX(0,MIN(F461,IF(D461&lt;2500,((Y461+AJ461+AA461))-X461,((Y461+AJ461+AA461)*'Retirement Planning'!$J$44)-X461))),0))</f>
        <v>18778.285217039109</v>
      </c>
      <c r="H461" s="255">
        <f ca="1">IF(MONTH(C461)=1,IF(B461&gt;69.5,F461/(INDEX('Retirement Planning'!D$1:D$264,(160+INT(B461))))/12,0),IF(F461=0,0,H460))</f>
        <v>5346.4905665636252</v>
      </c>
      <c r="I461" s="262">
        <f t="shared" ca="1" si="199"/>
        <v>0</v>
      </c>
      <c r="J461" s="254">
        <f ca="1">IF(AND(B460&lt;59.5,OR(B461=59.5,B461&gt;59.5)),0,(J460-K460)*(1+'Retirement Planning'!$J$23/12))</f>
        <v>0</v>
      </c>
      <c r="K461" s="58">
        <f t="shared" ca="1" si="200"/>
        <v>0</v>
      </c>
      <c r="L461" s="57">
        <f>IF(AND(OR(B461&gt;59.5,B461=59.5),B460&lt;59.5),0,(L460-M460)*(1+'Retirement Planning'!$J$23/12))</f>
        <v>0</v>
      </c>
      <c r="M461" s="59">
        <f>IF(AND($B$10&lt;55,B461&lt;59.5),0,IF(B461&lt;59.5,MAX(0,MIN((($Y461+$AJ461+AA461)*'Retirement Planning'!$J$44)-$G461-$X461,L461)),0))</f>
        <v>0</v>
      </c>
      <c r="N461" s="57">
        <f ca="1">(N460-O460)*(1+'Retirement Planning'!$J$23/12)</f>
        <v>0</v>
      </c>
      <c r="O461" s="59">
        <f ca="1">IF(B461&gt;59.5,MAX(0,MIN((AA461+$Y461+$AJ461)*(IF(D461&lt;(MIN(E449:E460)+1),1,'Retirement Planning'!$J$44))-M461-$G461-$X461-(IF(D461&lt;(MIN(E449:E460)+1),D461,0)),N461)),0)</f>
        <v>0</v>
      </c>
      <c r="P461" s="57">
        <f t="shared" si="210"/>
        <v>0</v>
      </c>
      <c r="Q461" s="58">
        <f t="shared" si="211"/>
        <v>0</v>
      </c>
      <c r="R461" s="57">
        <f ca="1">(R460-S460-T460)*(1+'Retirement Planning'!$J$23/12)</f>
        <v>2239430.2641970618</v>
      </c>
      <c r="S461" s="58">
        <f t="shared" ca="1" si="212"/>
        <v>808.33333333333337</v>
      </c>
      <c r="T461" s="273">
        <f t="shared" ca="1" si="201"/>
        <v>-4.7748471843078732E-12</v>
      </c>
      <c r="U461" s="57">
        <f ca="1">(U460-V460)*(1+'Retirement Planning'!$J$23/12)</f>
        <v>1157086.3167704139</v>
      </c>
      <c r="V461" s="24">
        <f ca="1">IF(AND($B$10&lt;55,B461&lt;59.5),MIN(U461,MAX(0,(Y461+AA461+AJ461-G461)*'Retirement Planning'!$J$45)),IF(B461&lt;59.5,(MIN(U461,MAX(0,((Y461+AA461+AJ461)-G461-M461)*'Retirement Planning'!$J$45))),MIN(U461,MAX(0,(Y461+AA461+AJ461-G461-M461-K461-X461)*'Retirement Planning'!$J$45))))</f>
        <v>2157.149096258292</v>
      </c>
      <c r="W461" s="7">
        <f t="shared" ca="1" si="202"/>
        <v>5002804.0313043166</v>
      </c>
      <c r="X461" s="7">
        <f>(IF(B461&gt;'Retirement Planning'!$J$34,IF('Retirement Planning'!$J$34=70,'Retirement Planning'!$J$37/12,IF('Retirement Planning'!$J$34=67,'Retirement Planning'!$J$36/12,'Retirement Planning'!$J$35/12)),0))*'Retirement Planning'!$J$38</f>
        <v>1213.6000000000001</v>
      </c>
      <c r="Y461" s="7">
        <f ca="1">'Retirement Planning'!$F$35*((1+'Retirement Planning'!$J$24)^(YEAR('Projected Retirement Drawdown'!C461)-YEAR(TODAY())))</f>
        <v>18539.079259684979</v>
      </c>
      <c r="Z461" s="7">
        <f ca="1">G461+M461+O461+0.85*X461+V461*'Retirement Planning'!$J$46+T461</f>
        <v>20996.277219981166</v>
      </c>
      <c r="AA461" s="7">
        <f ca="1">IF(MONTH(C461)=1,(((MIN(MAX(0,((SUM(Z449:Z460)-'Retirement Planning'!$I$53-'Retirement Planning'!$I$54)-'Retirement Planning'!$J$51)*'Retirement Planning'!$I$52))))+(MIN(MAX(0,((SUM(Z449:Z460)-'Retirement Planning'!$I$53-'Retirement Planning'!$I$54)-'Retirement Planning'!$J$50)*'Retirement Planning'!$I$51),('Retirement Planning'!$J$51-'Retirement Planning'!$J$50)*'Retirement Planning'!$I$51))+(MIN(MAX(0,((SUM(Z449:Z460)-'Retirement Planning'!$I$53-'Retirement Planning'!$I$54)-'Retirement Planning'!$J$49)*'Retirement Planning'!$I$50),('Retirement Planning'!$J$50-'Retirement Planning'!$J$49)*'Retirement Planning'!$I$50)+MIN(MAX(0,((SUM(Z449:Z460)-'Retirement Planning'!$I$53-'Retirement Planning'!$I$54)-'Retirement Planning'!$J$48)*'Retirement Planning'!$I$49),('Retirement Planning'!$J$49-'Retirement Planning'!$J$48)*'Retirement Planning'!$I$49)+MIN(((SUM(Z449:Z460)-'Retirement Planning'!$I$53-'Retirement Planning'!$I$54))*'Retirement Planning'!$I$48,('Retirement Planning'!$J$48)*'Retirement Planning'!$I$48))+(IF((SUM(Z449:Z460)-'Retirement Planning'!$I$54-'Retirement Planning'!$I$61)&gt;'Retirement Planning'!$J$59,(SUM(Z449:Z460)-'Retirement Planning'!$I$54-'Retirement Planning'!$I$61-'Retirement Planning'!$J$59)*'Retirement Planning'!$I$60+'Retirement Planning'!$K$59,IF((SUM(Z449:Z460)-'Retirement Planning'!$I$54-'Retirement Planning'!$I$61)&gt;'Retirement Planning'!$J$58,(SUM(Z449:Z460)-'Retirement Planning'!$I$54-'Retirement Planning'!$I$61-'Retirement Planning'!$J$58)*'Retirement Planning'!$I$59+'Retirement Planning'!$K$58,IF((SUM(Z449:Z460)-'Retirement Planning'!$I$54-'Retirement Planning'!$I$61)&gt;'Retirement Planning'!$J$57,(SUM(Z449:Z460)-'Retirement Planning'!$I$54-'Retirement Planning'!$I$61-'Retirement Planning'!$J$57)*'Retirement Planning'!$I$58+'Retirement Planning'!$K$57,IF((SUM(Z449:Z460)-'Retirement Planning'!$I$54-'Retirement Planning'!$I$61)&gt;'Retirement Planning'!$J$56,(SUM(Z449:Z460)-'Retirement Planning'!$I$54-'Retirement Planning'!$I$61-'Retirement Planning'!$J$56)*'Retirement Planning'!$I$57+'Retirement Planning'!$K$56,(SUM(Z449:Z460)-'Retirement Planning'!$I$54-'Retirement Planning'!$I$61)*'Retirement Planning'!$I$56))))))/12,AA460)</f>
        <v>5825.593847770705</v>
      </c>
      <c r="AB461" s="104">
        <f t="shared" ca="1" si="193"/>
        <v>0.28817647237083821</v>
      </c>
      <c r="AC461" s="7">
        <f>IF(B461&lt;65,'Retirement Planning'!$J$28,0)</f>
        <v>0</v>
      </c>
      <c r="AD461" s="7">
        <f>IF(B461&lt;65,'Retirement Planning'!$J$29/12,0)</f>
        <v>0</v>
      </c>
      <c r="AE461" s="22">
        <f>'Retirement Planning'!$J$31/12</f>
        <v>58.333333333333336</v>
      </c>
      <c r="AF461" s="22">
        <f>'Retirement Planning'!$J$32/12</f>
        <v>66.666666666666671</v>
      </c>
      <c r="AG461" s="7">
        <f>IF($B461&gt;64.9,'Retirement Planning'!$J$39/12,0)</f>
        <v>183.33333333333334</v>
      </c>
      <c r="AH461" s="7">
        <f>IF($B461&gt;64.9,'Retirement Planning'!$J$40/12,0)</f>
        <v>258.33333333333331</v>
      </c>
      <c r="AI461" s="7">
        <f>IF($B461&gt;64.9,'Retirement Planning'!$J$41/12,0)</f>
        <v>558.33333333333337</v>
      </c>
      <c r="AJ461" s="7">
        <f t="shared" ca="1" si="203"/>
        <v>316.66666666666663</v>
      </c>
      <c r="AK461" s="3" t="str">
        <f t="shared" ca="1" si="190"/>
        <v>N/A</v>
      </c>
      <c r="AL461" s="6" t="str">
        <f t="shared" ca="1" si="191"/>
        <v>N/A</v>
      </c>
      <c r="AM461" s="7">
        <f t="shared" ca="1" si="204"/>
        <v>-6.8212102632969618E-13</v>
      </c>
      <c r="AN461" s="7">
        <f t="shared" ca="1" si="205"/>
        <v>25489.673107455685</v>
      </c>
      <c r="AO461" s="7">
        <f t="shared" si="206"/>
        <v>1125</v>
      </c>
    </row>
    <row r="462" spans="1:41" x14ac:dyDescent="0.2">
      <c r="A462">
        <f t="shared" si="207"/>
        <v>50</v>
      </c>
      <c r="B462" s="5">
        <f t="shared" si="208"/>
        <v>94</v>
      </c>
      <c r="C462" s="56">
        <f t="shared" si="209"/>
        <v>60176</v>
      </c>
      <c r="D462" s="57">
        <f ca="1">IF(AND(B461&lt;59.5,OR(B462&gt;59.5,B462=59.5)),(D461-E461+J461-K461)*(1+'Retirement Planning'!$J$23/12),(D461-E461)*(1+'Retirement Planning'!$J$23/12))</f>
        <v>1436316.1107249146</v>
      </c>
      <c r="E462" s="58">
        <f t="shared" ca="1" si="198"/>
        <v>2532.3054608249549</v>
      </c>
      <c r="F462" s="57">
        <f ca="1">IF(AND(OR(B462&gt;59.5,B462=59.5),B461&lt;59.5),(F461-G461+L461-M461+N461-O461)*(1+'Retirement Planning'!$J$23/12),(F461-G461)*(1+'Retirement Planning'!$J$23/12))</f>
        <v>159887.66835664722</v>
      </c>
      <c r="G462" s="58">
        <f ca="1">IF(AND($B$10&lt;55,B462&lt;59.5),'Retirement Planning'!$J$25,IF(OR(B462&gt;59.5,B462=59.5),MAX(0,MIN(F462,IF(D462&lt;2500,((Y462+AJ462+AA462))-X462,((Y462+AJ462+AA462)*'Retirement Planning'!$J$44)-X462))),0))</f>
        <v>18778.285217039109</v>
      </c>
      <c r="H462" s="255">
        <f ca="1">IF(MONTH(C462)=1,IF(B462&gt;69.5,F462/(INDEX('Retirement Planning'!D$1:D$264,(160+INT(B462))))/12,0),IF(F462=0,0,H461))</f>
        <v>5346.4905665636252</v>
      </c>
      <c r="I462" s="262">
        <f t="shared" ca="1" si="199"/>
        <v>0</v>
      </c>
      <c r="J462" s="254">
        <f ca="1">IF(AND(B461&lt;59.5,OR(B462=59.5,B462&gt;59.5)),0,(J461-K461)*(1+'Retirement Planning'!$J$23/12))</f>
        <v>0</v>
      </c>
      <c r="K462" s="58">
        <f t="shared" ca="1" si="200"/>
        <v>0</v>
      </c>
      <c r="L462" s="57">
        <f>IF(AND(OR(B462&gt;59.5,B462=59.5),B461&lt;59.5),0,(L461-M461)*(1+'Retirement Planning'!$J$23/12))</f>
        <v>0</v>
      </c>
      <c r="M462" s="59">
        <f>IF(AND($B$10&lt;55,B462&lt;59.5),0,IF(B462&lt;59.5,MAX(0,MIN((($Y462+$AJ462+AA462)*'Retirement Planning'!$J$44)-$G462-$X462,L462)),0))</f>
        <v>0</v>
      </c>
      <c r="N462" s="57">
        <f ca="1">(N461-O461)*(1+'Retirement Planning'!$J$23/12)</f>
        <v>0</v>
      </c>
      <c r="O462" s="59">
        <f ca="1">IF(B462&gt;59.5,MAX(0,MIN((AA462+$Y462+$AJ462)*(IF(D462&lt;(MIN(E450:E461)+1),1,'Retirement Planning'!$J$44))-M462-$G462-$X462-(IF(D462&lt;(MIN(E450:E461)+1),D462,0)),N462)),0)</f>
        <v>0</v>
      </c>
      <c r="P462" s="57">
        <f t="shared" si="210"/>
        <v>0</v>
      </c>
      <c r="Q462" s="58">
        <f t="shared" si="211"/>
        <v>0</v>
      </c>
      <c r="R462" s="57">
        <f ca="1">(R461-S461-T461)*(1+'Retirement Planning'!$J$23/12)</f>
        <v>2254478.8362073465</v>
      </c>
      <c r="S462" s="58">
        <f t="shared" ca="1" si="212"/>
        <v>808.33333333333337</v>
      </c>
      <c r="T462" s="273">
        <f t="shared" ca="1" si="201"/>
        <v>-4.7748471843078732E-12</v>
      </c>
      <c r="U462" s="57">
        <f ca="1">(U461-V461)*(1+'Retirement Planning'!$J$23/12)</f>
        <v>1163109.9159451809</v>
      </c>
      <c r="V462" s="24">
        <f ca="1">IF(AND($B$10&lt;55,B462&lt;59.5),MIN(U462,MAX(0,(Y462+AA462+AJ462-G462)*'Retirement Planning'!$J$45)),IF(B462&lt;59.5,(MIN(U462,MAX(0,((Y462+AA462+AJ462)-G462-M462)*'Retirement Planning'!$J$45))),MIN(U462,MAX(0,(Y462+AA462+AJ462-G462-M462-K462-X462)*'Retirement Planning'!$J$45))))</f>
        <v>2157.149096258292</v>
      </c>
      <c r="W462" s="7">
        <f t="shared" ca="1" si="202"/>
        <v>5013792.5312340893</v>
      </c>
      <c r="X462" s="7">
        <f>(IF(B462&gt;'Retirement Planning'!$J$34,IF('Retirement Planning'!$J$34=70,'Retirement Planning'!$J$37/12,IF('Retirement Planning'!$J$34=67,'Retirement Planning'!$J$36/12,'Retirement Planning'!$J$35/12)),0))*'Retirement Planning'!$J$38</f>
        <v>1213.6000000000001</v>
      </c>
      <c r="Y462" s="7">
        <f ca="1">'Retirement Planning'!$F$35*((1+'Retirement Planning'!$J$24)^(YEAR('Projected Retirement Drawdown'!C462)-YEAR(TODAY())))</f>
        <v>18539.079259684979</v>
      </c>
      <c r="Z462" s="7">
        <f ca="1">G462+M462+O462+0.85*X462+V462*'Retirement Planning'!$J$46+T462</f>
        <v>20996.277219981166</v>
      </c>
      <c r="AA462" s="7">
        <f ca="1">IF(MONTH(C462)=1,(((MIN(MAX(0,((SUM(Z450:Z461)-'Retirement Planning'!$I$53-'Retirement Planning'!$I$54)-'Retirement Planning'!$J$51)*'Retirement Planning'!$I$52))))+(MIN(MAX(0,((SUM(Z450:Z461)-'Retirement Planning'!$I$53-'Retirement Planning'!$I$54)-'Retirement Planning'!$J$50)*'Retirement Planning'!$I$51),('Retirement Planning'!$J$51-'Retirement Planning'!$J$50)*'Retirement Planning'!$I$51))+(MIN(MAX(0,((SUM(Z450:Z461)-'Retirement Planning'!$I$53-'Retirement Planning'!$I$54)-'Retirement Planning'!$J$49)*'Retirement Planning'!$I$50),('Retirement Planning'!$J$50-'Retirement Planning'!$J$49)*'Retirement Planning'!$I$50)+MIN(MAX(0,((SUM(Z450:Z461)-'Retirement Planning'!$I$53-'Retirement Planning'!$I$54)-'Retirement Planning'!$J$48)*'Retirement Planning'!$I$49),('Retirement Planning'!$J$49-'Retirement Planning'!$J$48)*'Retirement Planning'!$I$49)+MIN(((SUM(Z450:Z461)-'Retirement Planning'!$I$53-'Retirement Planning'!$I$54))*'Retirement Planning'!$I$48,('Retirement Planning'!$J$48)*'Retirement Planning'!$I$48))+(IF((SUM(Z450:Z461)-'Retirement Planning'!$I$54-'Retirement Planning'!$I$61)&gt;'Retirement Planning'!$J$59,(SUM(Z450:Z461)-'Retirement Planning'!$I$54-'Retirement Planning'!$I$61-'Retirement Planning'!$J$59)*'Retirement Planning'!$I$60+'Retirement Planning'!$K$59,IF((SUM(Z450:Z461)-'Retirement Planning'!$I$54-'Retirement Planning'!$I$61)&gt;'Retirement Planning'!$J$58,(SUM(Z450:Z461)-'Retirement Planning'!$I$54-'Retirement Planning'!$I$61-'Retirement Planning'!$J$58)*'Retirement Planning'!$I$59+'Retirement Planning'!$K$58,IF((SUM(Z450:Z461)-'Retirement Planning'!$I$54-'Retirement Planning'!$I$61)&gt;'Retirement Planning'!$J$57,(SUM(Z450:Z461)-'Retirement Planning'!$I$54-'Retirement Planning'!$I$61-'Retirement Planning'!$J$57)*'Retirement Planning'!$I$58+'Retirement Planning'!$K$57,IF((SUM(Z450:Z461)-'Retirement Planning'!$I$54-'Retirement Planning'!$I$61)&gt;'Retirement Planning'!$J$56,(SUM(Z450:Z461)-'Retirement Planning'!$I$54-'Retirement Planning'!$I$61-'Retirement Planning'!$J$56)*'Retirement Planning'!$I$57+'Retirement Planning'!$K$56,(SUM(Z450:Z461)-'Retirement Planning'!$I$54-'Retirement Planning'!$I$61)*'Retirement Planning'!$I$56))))))/12,AA461)</f>
        <v>5825.593847770705</v>
      </c>
      <c r="AB462" s="104">
        <f t="shared" ca="1" si="193"/>
        <v>0.28817647237083821</v>
      </c>
      <c r="AC462" s="7">
        <f>IF(B462&lt;65,'Retirement Planning'!$J$28,0)</f>
        <v>0</v>
      </c>
      <c r="AD462" s="7">
        <f>IF(B462&lt;65,'Retirement Planning'!$J$29/12,0)</f>
        <v>0</v>
      </c>
      <c r="AE462" s="22">
        <f>'Retirement Planning'!$J$31/12</f>
        <v>58.333333333333336</v>
      </c>
      <c r="AF462" s="22">
        <f>'Retirement Planning'!$J$32/12</f>
        <v>66.666666666666671</v>
      </c>
      <c r="AG462" s="7">
        <f>IF($B462&gt;64.9,'Retirement Planning'!$J$39/12,0)</f>
        <v>183.33333333333334</v>
      </c>
      <c r="AH462" s="7">
        <f>IF($B462&gt;64.9,'Retirement Planning'!$J$40/12,0)</f>
        <v>258.33333333333331</v>
      </c>
      <c r="AI462" s="7">
        <f>IF($B462&gt;64.9,'Retirement Planning'!$J$41/12,0)</f>
        <v>558.33333333333337</v>
      </c>
      <c r="AJ462" s="7">
        <f t="shared" ca="1" si="203"/>
        <v>316.66666666666663</v>
      </c>
      <c r="AK462" s="3" t="str">
        <f t="shared" ca="1" si="190"/>
        <v>N/A</v>
      </c>
      <c r="AL462" s="6" t="str">
        <f t="shared" ca="1" si="191"/>
        <v>N/A</v>
      </c>
      <c r="AM462" s="7">
        <f t="shared" ca="1" si="204"/>
        <v>-6.8212102632969618E-13</v>
      </c>
      <c r="AN462" s="7">
        <f t="shared" ca="1" si="205"/>
        <v>25489.673107455685</v>
      </c>
      <c r="AO462" s="7">
        <f t="shared" si="206"/>
        <v>1125</v>
      </c>
    </row>
    <row r="463" spans="1:41" x14ac:dyDescent="0.2">
      <c r="A463">
        <f t="shared" si="207"/>
        <v>50</v>
      </c>
      <c r="B463" s="5">
        <f t="shared" si="208"/>
        <v>94</v>
      </c>
      <c r="C463" s="56">
        <f t="shared" si="209"/>
        <v>60207</v>
      </c>
      <c r="D463" s="57">
        <f ca="1">IF(AND(B462&lt;59.5,OR(B463&gt;59.5,B463=59.5)),(D462-E462+J462-K462)*(1+'Retirement Planning'!$J$23/12),(D462-E462)*(1+'Retirement Planning'!$J$23/12))</f>
        <v>1443939.7738847104</v>
      </c>
      <c r="E463" s="58">
        <f t="shared" ca="1" si="198"/>
        <v>2532.3054608249549</v>
      </c>
      <c r="F463" s="57">
        <f ca="1">IF(AND(OR(B463&gt;59.5,B463=59.5),B462&lt;59.5),(F462-G462+L462-M462+N462-O462)*(1+'Retirement Planning'!$J$23/12),(F462-G462)*(1+'Retirement Planning'!$J$23/12))</f>
        <v>142108.90793684701</v>
      </c>
      <c r="G463" s="58">
        <f ca="1">IF(AND($B$10&lt;55,B463&lt;59.5),'Retirement Planning'!$J$25,IF(OR(B463&gt;59.5,B463=59.5),MAX(0,MIN(F463,IF(D463&lt;2500,((Y463+AJ463+AA463))-X463,((Y463+AJ463+AA463)*'Retirement Planning'!$J$44)-X463))),0))</f>
        <v>18778.285217039109</v>
      </c>
      <c r="H463" s="255">
        <f ca="1">IF(MONTH(C463)=1,IF(B463&gt;69.5,F463/(INDEX('Retirement Planning'!D$1:D$264,(160+INT(B463))))/12,0),IF(F463=0,0,H462))</f>
        <v>5346.4905665636252</v>
      </c>
      <c r="I463" s="262">
        <f t="shared" ca="1" si="199"/>
        <v>0</v>
      </c>
      <c r="J463" s="254">
        <f ca="1">IF(AND(B462&lt;59.5,OR(B463=59.5,B463&gt;59.5)),0,(J462-K462)*(1+'Retirement Planning'!$J$23/12))</f>
        <v>0</v>
      </c>
      <c r="K463" s="58">
        <f t="shared" ca="1" si="200"/>
        <v>0</v>
      </c>
      <c r="L463" s="57">
        <f>IF(AND(OR(B463&gt;59.5,B463=59.5),B462&lt;59.5),0,(L462-M462)*(1+'Retirement Planning'!$J$23/12))</f>
        <v>0</v>
      </c>
      <c r="M463" s="59">
        <f>IF(AND($B$10&lt;55,B463&lt;59.5),0,IF(B463&lt;59.5,MAX(0,MIN((($Y463+$AJ463+AA463)*'Retirement Planning'!$J$44)-$G463-$X463,L463)),0))</f>
        <v>0</v>
      </c>
      <c r="N463" s="57">
        <f ca="1">(N462-O462)*(1+'Retirement Planning'!$J$23/12)</f>
        <v>0</v>
      </c>
      <c r="O463" s="59">
        <f ca="1">IF(B463&gt;59.5,MAX(0,MIN((AA463+$Y463+$AJ463)*(IF(D463&lt;(MIN(E451:E462)+1),1,'Retirement Planning'!$J$44))-M463-$G463-$X463-(IF(D463&lt;(MIN(E451:E462)+1),D463,0)),N463)),0)</f>
        <v>0</v>
      </c>
      <c r="P463" s="57">
        <f t="shared" si="210"/>
        <v>0</v>
      </c>
      <c r="Q463" s="58">
        <f t="shared" si="211"/>
        <v>0</v>
      </c>
      <c r="R463" s="57">
        <f ca="1">(R462-S462-T462)*(1+'Retirement Planning'!$J$23/12)</f>
        <v>2269634.0022693705</v>
      </c>
      <c r="S463" s="58">
        <f t="shared" ca="1" si="212"/>
        <v>808.33333333333337</v>
      </c>
      <c r="T463" s="273">
        <f t="shared" ca="1" si="201"/>
        <v>-4.7748471843078732E-12</v>
      </c>
      <c r="U463" s="57">
        <f ca="1">(U462-V462)*(1+'Retirement Planning'!$J$23/12)</f>
        <v>1169176.1822807693</v>
      </c>
      <c r="V463" s="24">
        <f ca="1">IF(AND($B$10&lt;55,B463&lt;59.5),MIN(U463,MAX(0,(Y463+AA463+AJ463-G463)*'Retirement Planning'!$J$45)),IF(B463&lt;59.5,(MIN(U463,MAX(0,((Y463+AA463+AJ463)-G463-M463)*'Retirement Planning'!$J$45))),MIN(U463,MAX(0,(Y463+AA463+AJ463-G463-M463-K463-X463)*'Retirement Planning'!$J$45))))</f>
        <v>2157.149096258292</v>
      </c>
      <c r="W463" s="7">
        <f t="shared" ca="1" si="202"/>
        <v>5024858.8663716977</v>
      </c>
      <c r="X463" s="7">
        <f>(IF(B463&gt;'Retirement Planning'!$J$34,IF('Retirement Planning'!$J$34=70,'Retirement Planning'!$J$37/12,IF('Retirement Planning'!$J$34=67,'Retirement Planning'!$J$36/12,'Retirement Planning'!$J$35/12)),0))*'Retirement Planning'!$J$38</f>
        <v>1213.6000000000001</v>
      </c>
      <c r="Y463" s="7">
        <f ca="1">'Retirement Planning'!$F$35*((1+'Retirement Planning'!$J$24)^(YEAR('Projected Retirement Drawdown'!C463)-YEAR(TODAY())))</f>
        <v>18539.079259684979</v>
      </c>
      <c r="Z463" s="7">
        <f ca="1">G463+M463+O463+0.85*X463+V463*'Retirement Planning'!$J$46+T463</f>
        <v>20996.277219981166</v>
      </c>
      <c r="AA463" s="7">
        <f ca="1">IF(MONTH(C463)=1,(((MIN(MAX(0,((SUM(Z451:Z462)-'Retirement Planning'!$I$53-'Retirement Planning'!$I$54)-'Retirement Planning'!$J$51)*'Retirement Planning'!$I$52))))+(MIN(MAX(0,((SUM(Z451:Z462)-'Retirement Planning'!$I$53-'Retirement Planning'!$I$54)-'Retirement Planning'!$J$50)*'Retirement Planning'!$I$51),('Retirement Planning'!$J$51-'Retirement Planning'!$J$50)*'Retirement Planning'!$I$51))+(MIN(MAX(0,((SUM(Z451:Z462)-'Retirement Planning'!$I$53-'Retirement Planning'!$I$54)-'Retirement Planning'!$J$49)*'Retirement Planning'!$I$50),('Retirement Planning'!$J$50-'Retirement Planning'!$J$49)*'Retirement Planning'!$I$50)+MIN(MAX(0,((SUM(Z451:Z462)-'Retirement Planning'!$I$53-'Retirement Planning'!$I$54)-'Retirement Planning'!$J$48)*'Retirement Planning'!$I$49),('Retirement Planning'!$J$49-'Retirement Planning'!$J$48)*'Retirement Planning'!$I$49)+MIN(((SUM(Z451:Z462)-'Retirement Planning'!$I$53-'Retirement Planning'!$I$54))*'Retirement Planning'!$I$48,('Retirement Planning'!$J$48)*'Retirement Planning'!$I$48))+(IF((SUM(Z451:Z462)-'Retirement Planning'!$I$54-'Retirement Planning'!$I$61)&gt;'Retirement Planning'!$J$59,(SUM(Z451:Z462)-'Retirement Planning'!$I$54-'Retirement Planning'!$I$61-'Retirement Planning'!$J$59)*'Retirement Planning'!$I$60+'Retirement Planning'!$K$59,IF((SUM(Z451:Z462)-'Retirement Planning'!$I$54-'Retirement Planning'!$I$61)&gt;'Retirement Planning'!$J$58,(SUM(Z451:Z462)-'Retirement Planning'!$I$54-'Retirement Planning'!$I$61-'Retirement Planning'!$J$58)*'Retirement Planning'!$I$59+'Retirement Planning'!$K$58,IF((SUM(Z451:Z462)-'Retirement Planning'!$I$54-'Retirement Planning'!$I$61)&gt;'Retirement Planning'!$J$57,(SUM(Z451:Z462)-'Retirement Planning'!$I$54-'Retirement Planning'!$I$61-'Retirement Planning'!$J$57)*'Retirement Planning'!$I$58+'Retirement Planning'!$K$57,IF((SUM(Z451:Z462)-'Retirement Planning'!$I$54-'Retirement Planning'!$I$61)&gt;'Retirement Planning'!$J$56,(SUM(Z451:Z462)-'Retirement Planning'!$I$54-'Retirement Planning'!$I$61-'Retirement Planning'!$J$56)*'Retirement Planning'!$I$57+'Retirement Planning'!$K$56,(SUM(Z451:Z462)-'Retirement Planning'!$I$54-'Retirement Planning'!$I$61)*'Retirement Planning'!$I$56))))))/12,AA462)</f>
        <v>5825.593847770705</v>
      </c>
      <c r="AB463" s="104">
        <f t="shared" ca="1" si="193"/>
        <v>0.28817647237083821</v>
      </c>
      <c r="AC463" s="7">
        <f>IF(B463&lt;65,'Retirement Planning'!$J$28,0)</f>
        <v>0</v>
      </c>
      <c r="AD463" s="7">
        <f>IF(B463&lt;65,'Retirement Planning'!$J$29/12,0)</f>
        <v>0</v>
      </c>
      <c r="AE463" s="22">
        <f>'Retirement Planning'!$J$31/12</f>
        <v>58.333333333333336</v>
      </c>
      <c r="AF463" s="22">
        <f>'Retirement Planning'!$J$32/12</f>
        <v>66.666666666666671</v>
      </c>
      <c r="AG463" s="7">
        <f>IF($B463&gt;64.9,'Retirement Planning'!$J$39/12,0)</f>
        <v>183.33333333333334</v>
      </c>
      <c r="AH463" s="7">
        <f>IF($B463&gt;64.9,'Retirement Planning'!$J$40/12,0)</f>
        <v>258.33333333333331</v>
      </c>
      <c r="AI463" s="7">
        <f>IF($B463&gt;64.9,'Retirement Planning'!$J$41/12,0)</f>
        <v>558.33333333333337</v>
      </c>
      <c r="AJ463" s="7">
        <f t="shared" ca="1" si="203"/>
        <v>316.66666666666663</v>
      </c>
      <c r="AK463" s="3" t="str">
        <f t="shared" ca="1" si="190"/>
        <v>N/A</v>
      </c>
      <c r="AL463" s="6" t="str">
        <f t="shared" ca="1" si="191"/>
        <v>N/A</v>
      </c>
      <c r="AM463" s="7">
        <f t="shared" ca="1" si="204"/>
        <v>-6.8212102632969618E-13</v>
      </c>
      <c r="AN463" s="7">
        <f t="shared" ca="1" si="205"/>
        <v>25489.673107455685</v>
      </c>
      <c r="AO463" s="7">
        <f t="shared" si="206"/>
        <v>1125</v>
      </c>
    </row>
    <row r="464" spans="1:41" x14ac:dyDescent="0.2">
      <c r="A464">
        <f t="shared" si="207"/>
        <v>50</v>
      </c>
      <c r="B464" s="5">
        <f t="shared" si="208"/>
        <v>94.1</v>
      </c>
      <c r="C464" s="56">
        <f t="shared" si="209"/>
        <v>60237</v>
      </c>
      <c r="D464" s="57">
        <f ca="1">IF(AND(B463&lt;59.5,OR(B464&gt;59.5,B464=59.5)),(D463-E463+J463-K463)*(1+'Retirement Planning'!$J$23/12),(D463-E463)*(1+'Retirement Planning'!$J$23/12))</f>
        <v>1451617.437991888</v>
      </c>
      <c r="E464" s="58">
        <f t="shared" ca="1" si="198"/>
        <v>2532.3054608249549</v>
      </c>
      <c r="F464" s="57">
        <f ca="1">IF(AND(OR(B464&gt;59.5,B464=59.5),B463&lt;59.5),(F463-G463+L463-M463+N463-O463)*(1+'Retirement Planning'!$J$23/12),(F463-G463)*(1+'Retirement Planning'!$J$23/12))</f>
        <v>124204.21463073987</v>
      </c>
      <c r="G464" s="58">
        <f ca="1">IF(AND($B$10&lt;55,B464&lt;59.5),'Retirement Planning'!$J$25,IF(OR(B464&gt;59.5,B464=59.5),MAX(0,MIN(F464,IF(D464&lt;2500,((Y464+AJ464+AA464))-X464,((Y464+AJ464+AA464)*'Retirement Planning'!$J$44)-X464))),0))</f>
        <v>18778.285217039109</v>
      </c>
      <c r="H464" s="255">
        <f ca="1">IF(MONTH(C464)=1,IF(B464&gt;69.5,F464/(INDEX('Retirement Planning'!D$1:D$264,(160+INT(B464))))/12,0),IF(F464=0,0,H463))</f>
        <v>5346.4905665636252</v>
      </c>
      <c r="I464" s="262">
        <f t="shared" ca="1" si="199"/>
        <v>0</v>
      </c>
      <c r="J464" s="254">
        <f ca="1">IF(AND(B463&lt;59.5,OR(B464=59.5,B464&gt;59.5)),0,(J463-K463)*(1+'Retirement Planning'!$J$23/12))</f>
        <v>0</v>
      </c>
      <c r="K464" s="58">
        <f t="shared" ca="1" si="200"/>
        <v>0</v>
      </c>
      <c r="L464" s="57">
        <f>IF(AND(OR(B464&gt;59.5,B464=59.5),B463&lt;59.5),0,(L463-M463)*(1+'Retirement Planning'!$J$23/12))</f>
        <v>0</v>
      </c>
      <c r="M464" s="59">
        <f>IF(AND($B$10&lt;55,B464&lt;59.5),0,IF(B464&lt;59.5,MAX(0,MIN((($Y464+$AJ464+AA464)*'Retirement Planning'!$J$44)-$G464-$X464,L464)),0))</f>
        <v>0</v>
      </c>
      <c r="N464" s="57">
        <f ca="1">(N463-O463)*(1+'Retirement Planning'!$J$23/12)</f>
        <v>0</v>
      </c>
      <c r="O464" s="59">
        <f ca="1">IF(B464&gt;59.5,MAX(0,MIN((AA464+$Y464+$AJ464)*(IF(D464&lt;(MIN(E452:E463)+1),1,'Retirement Planning'!$J$44))-M464-$G464-$X464-(IF(D464&lt;(MIN(E452:E463)+1),D464,0)),N464)),0)</f>
        <v>0</v>
      </c>
      <c r="P464" s="57">
        <f t="shared" si="210"/>
        <v>0</v>
      </c>
      <c r="Q464" s="58">
        <f t="shared" si="211"/>
        <v>0</v>
      </c>
      <c r="R464" s="57">
        <f ca="1">(R463-S463-T463)*(1+'Retirement Planning'!$J$23/12)</f>
        <v>2284896.5174243338</v>
      </c>
      <c r="S464" s="58">
        <f t="shared" ca="1" si="212"/>
        <v>808.33333333333337</v>
      </c>
      <c r="T464" s="273">
        <f t="shared" ca="1" si="201"/>
        <v>-4.7748471843078732E-12</v>
      </c>
      <c r="U464" s="57">
        <f ca="1">(U463-V463)*(1+'Retirement Planning'!$J$23/12)</f>
        <v>1175285.4180029014</v>
      </c>
      <c r="V464" s="24">
        <f ca="1">IF(AND($B$10&lt;55,B464&lt;59.5),MIN(U464,MAX(0,(Y464+AA464+AJ464-G464)*'Retirement Planning'!$J$45)),IF(B464&lt;59.5,(MIN(U464,MAX(0,((Y464+AA464+AJ464)-G464-M464)*'Retirement Planning'!$J$45))),MIN(U464,MAX(0,(Y464+AA464+AJ464-G464-M464-K464-X464)*'Retirement Planning'!$J$45))))</f>
        <v>2157.149096258292</v>
      </c>
      <c r="W464" s="7">
        <f t="shared" ca="1" si="202"/>
        <v>5036003.5880498635</v>
      </c>
      <c r="X464" s="7">
        <f>(IF(B464&gt;'Retirement Planning'!$J$34,IF('Retirement Planning'!$J$34=70,'Retirement Planning'!$J$37/12,IF('Retirement Planning'!$J$34=67,'Retirement Planning'!$J$36/12,'Retirement Planning'!$J$35/12)),0))*'Retirement Planning'!$J$38</f>
        <v>1213.6000000000001</v>
      </c>
      <c r="Y464" s="7">
        <f ca="1">'Retirement Planning'!$F$35*((1+'Retirement Planning'!$J$24)^(YEAR('Projected Retirement Drawdown'!C464)-YEAR(TODAY())))</f>
        <v>18539.079259684979</v>
      </c>
      <c r="Z464" s="7">
        <f ca="1">G464+M464+O464+0.85*X464+V464*'Retirement Planning'!$J$46+T464</f>
        <v>20996.277219981166</v>
      </c>
      <c r="AA464" s="7">
        <f ca="1">IF(MONTH(C464)=1,(((MIN(MAX(0,((SUM(Z452:Z463)-'Retirement Planning'!$I$53-'Retirement Planning'!$I$54)-'Retirement Planning'!$J$51)*'Retirement Planning'!$I$52))))+(MIN(MAX(0,((SUM(Z452:Z463)-'Retirement Planning'!$I$53-'Retirement Planning'!$I$54)-'Retirement Planning'!$J$50)*'Retirement Planning'!$I$51),('Retirement Planning'!$J$51-'Retirement Planning'!$J$50)*'Retirement Planning'!$I$51))+(MIN(MAX(0,((SUM(Z452:Z463)-'Retirement Planning'!$I$53-'Retirement Planning'!$I$54)-'Retirement Planning'!$J$49)*'Retirement Planning'!$I$50),('Retirement Planning'!$J$50-'Retirement Planning'!$J$49)*'Retirement Planning'!$I$50)+MIN(MAX(0,((SUM(Z452:Z463)-'Retirement Planning'!$I$53-'Retirement Planning'!$I$54)-'Retirement Planning'!$J$48)*'Retirement Planning'!$I$49),('Retirement Planning'!$J$49-'Retirement Planning'!$J$48)*'Retirement Planning'!$I$49)+MIN(((SUM(Z452:Z463)-'Retirement Planning'!$I$53-'Retirement Planning'!$I$54))*'Retirement Planning'!$I$48,('Retirement Planning'!$J$48)*'Retirement Planning'!$I$48))+(IF((SUM(Z452:Z463)-'Retirement Planning'!$I$54-'Retirement Planning'!$I$61)&gt;'Retirement Planning'!$J$59,(SUM(Z452:Z463)-'Retirement Planning'!$I$54-'Retirement Planning'!$I$61-'Retirement Planning'!$J$59)*'Retirement Planning'!$I$60+'Retirement Planning'!$K$59,IF((SUM(Z452:Z463)-'Retirement Planning'!$I$54-'Retirement Planning'!$I$61)&gt;'Retirement Planning'!$J$58,(SUM(Z452:Z463)-'Retirement Planning'!$I$54-'Retirement Planning'!$I$61-'Retirement Planning'!$J$58)*'Retirement Planning'!$I$59+'Retirement Planning'!$K$58,IF((SUM(Z452:Z463)-'Retirement Planning'!$I$54-'Retirement Planning'!$I$61)&gt;'Retirement Planning'!$J$57,(SUM(Z452:Z463)-'Retirement Planning'!$I$54-'Retirement Planning'!$I$61-'Retirement Planning'!$J$57)*'Retirement Planning'!$I$58+'Retirement Planning'!$K$57,IF((SUM(Z452:Z463)-'Retirement Planning'!$I$54-'Retirement Planning'!$I$61)&gt;'Retirement Planning'!$J$56,(SUM(Z452:Z463)-'Retirement Planning'!$I$54-'Retirement Planning'!$I$61-'Retirement Planning'!$J$56)*'Retirement Planning'!$I$57+'Retirement Planning'!$K$56,(SUM(Z452:Z463)-'Retirement Planning'!$I$54-'Retirement Planning'!$I$61)*'Retirement Planning'!$I$56))))))/12,AA463)</f>
        <v>5825.593847770705</v>
      </c>
      <c r="AB464" s="104">
        <f t="shared" ca="1" si="193"/>
        <v>0.28817647237083821</v>
      </c>
      <c r="AC464" s="7">
        <f>IF(B464&lt;65,'Retirement Planning'!$J$28,0)</f>
        <v>0</v>
      </c>
      <c r="AD464" s="7">
        <f>IF(B464&lt;65,'Retirement Planning'!$J$29/12,0)</f>
        <v>0</v>
      </c>
      <c r="AE464" s="22">
        <f>'Retirement Planning'!$J$31/12</f>
        <v>58.333333333333336</v>
      </c>
      <c r="AF464" s="22">
        <f>'Retirement Planning'!$J$32/12</f>
        <v>66.666666666666671</v>
      </c>
      <c r="AG464" s="7">
        <f>IF($B464&gt;64.9,'Retirement Planning'!$J$39/12,0)</f>
        <v>183.33333333333334</v>
      </c>
      <c r="AH464" s="7">
        <f>IF($B464&gt;64.9,'Retirement Planning'!$J$40/12,0)</f>
        <v>258.33333333333331</v>
      </c>
      <c r="AI464" s="7">
        <f>IF($B464&gt;64.9,'Retirement Planning'!$J$41/12,0)</f>
        <v>558.33333333333337</v>
      </c>
      <c r="AJ464" s="7">
        <f t="shared" ca="1" si="203"/>
        <v>316.66666666666663</v>
      </c>
      <c r="AK464" s="3" t="str">
        <f t="shared" ca="1" si="190"/>
        <v>N/A</v>
      </c>
      <c r="AL464" s="6" t="str">
        <f t="shared" ca="1" si="191"/>
        <v>N/A</v>
      </c>
      <c r="AM464" s="7">
        <f t="shared" ca="1" si="204"/>
        <v>-6.8212102632969618E-13</v>
      </c>
      <c r="AN464" s="7">
        <f t="shared" ca="1" si="205"/>
        <v>25489.673107455685</v>
      </c>
      <c r="AO464" s="7">
        <f t="shared" si="206"/>
        <v>1125</v>
      </c>
    </row>
    <row r="465" spans="1:41" x14ac:dyDescent="0.2">
      <c r="A465">
        <f t="shared" si="207"/>
        <v>50</v>
      </c>
      <c r="B465" s="5">
        <f t="shared" si="208"/>
        <v>94.2</v>
      </c>
      <c r="C465" s="56">
        <f t="shared" si="209"/>
        <v>60268</v>
      </c>
      <c r="D465" s="57">
        <f ca="1">IF(AND(B464&lt;59.5,OR(B465&gt;59.5,B465=59.5)),(D464-E464+J464-K464)*(1+'Retirement Planning'!$J$23/12),(D464-E464)*(1+'Retirement Planning'!$J$23/12))</f>
        <v>1459349.4855531582</v>
      </c>
      <c r="E465" s="58">
        <f t="shared" ca="1" si="198"/>
        <v>2628.9567704210931</v>
      </c>
      <c r="F465" s="57">
        <f ca="1">IF(AND(OR(B465&gt;59.5,B465=59.5),B464&lt;59.5),(F464-G464+L464-M464+N464-O464)*(1+'Retirement Planning'!$J$23/12),(F464-G464)*(1+'Retirement Planning'!$J$23/12))</f>
        <v>106172.69641371447</v>
      </c>
      <c r="G465" s="58">
        <f ca="1">IF(AND($B$10&lt;55,B465&lt;59.5),'Retirement Planning'!$J$25,IF(OR(B465&gt;59.5,B465=59.5),MAX(0,MIN(F465,IF(D465&lt;2500,((Y465+AJ465+AA465))-X465,((Y465+AJ465+AA465)*'Retirement Planning'!$J$44)-X465))),0))</f>
        <v>19541.321871745455</v>
      </c>
      <c r="H465" s="255">
        <f ca="1">IF(MONTH(C465)=1,IF(B465&gt;69.5,F465/(INDEX('Retirement Planning'!D$1:D$264,(160+INT(B465))))/12,0),IF(F465=0,0,H464))</f>
        <v>1923.418413291929</v>
      </c>
      <c r="I465" s="262">
        <f t="shared" ca="1" si="199"/>
        <v>0</v>
      </c>
      <c r="J465" s="254">
        <f ca="1">IF(AND(B464&lt;59.5,OR(B465=59.5,B465&gt;59.5)),0,(J464-K464)*(1+'Retirement Planning'!$J$23/12))</f>
        <v>0</v>
      </c>
      <c r="K465" s="58">
        <f t="shared" ca="1" si="200"/>
        <v>0</v>
      </c>
      <c r="L465" s="57">
        <f>IF(AND(OR(B465&gt;59.5,B465=59.5),B464&lt;59.5),0,(L464-M464)*(1+'Retirement Planning'!$J$23/12))</f>
        <v>0</v>
      </c>
      <c r="M465" s="59">
        <f>IF(AND($B$10&lt;55,B465&lt;59.5),0,IF(B465&lt;59.5,MAX(0,MIN((($Y465+$AJ465+AA465)*'Retirement Planning'!$J$44)-$G465-$X465,L465)),0))</f>
        <v>0</v>
      </c>
      <c r="N465" s="57">
        <f ca="1">(N464-O464)*(1+'Retirement Planning'!$J$23/12)</f>
        <v>0</v>
      </c>
      <c r="O465" s="59">
        <f ca="1">IF(B465&gt;59.5,MAX(0,MIN((AA465+$Y465+$AJ465)*(IF(D465&lt;(MIN(E453:E464)+1),1,'Retirement Planning'!$J$44))-M465-$G465-$X465-(IF(D465&lt;(MIN(E453:E464)+1),D465,0)),N465)),0)</f>
        <v>0</v>
      </c>
      <c r="P465" s="57">
        <f t="shared" si="210"/>
        <v>0</v>
      </c>
      <c r="Q465" s="58">
        <f t="shared" si="211"/>
        <v>0</v>
      </c>
      <c r="R465" s="57">
        <f ca="1">(R464-S464-T464)*(1+'Retirement Planning'!$J$23/12)</f>
        <v>2300267.1420616447</v>
      </c>
      <c r="S465" s="58">
        <f t="shared" ca="1" si="212"/>
        <v>808.33333333333337</v>
      </c>
      <c r="T465" s="273">
        <f t="shared" ca="1" si="201"/>
        <v>-4.3200998334214091E-12</v>
      </c>
      <c r="U465" s="57">
        <f ca="1">(U464-V464)*(1+'Retirement Planning'!$J$23/12)</f>
        <v>1181437.9274780652</v>
      </c>
      <c r="V465" s="24">
        <f ca="1">IF(AND($B$10&lt;55,B465&lt;59.5),MIN(U465,MAX(0,(Y465+AA465+AJ465-G465)*'Retirement Planning'!$J$45)),IF(B465&lt;59.5,(MIN(U465,MAX(0,((Y465+AA465+AJ465)-G465-M465)*'Retirement Planning'!$J$45))),MIN(U465,MAX(0,(Y465+AA465+AJ465-G465-M465-K465-X465)*'Retirement Planning'!$J$45))))</f>
        <v>2239.4816933216694</v>
      </c>
      <c r="W465" s="7">
        <f t="shared" ca="1" si="202"/>
        <v>5047227.2515065819</v>
      </c>
      <c r="X465" s="7">
        <f>(IF(B465&gt;'Retirement Planning'!$J$34,IF('Retirement Planning'!$J$34=70,'Retirement Planning'!$J$37/12,IF('Retirement Planning'!$J$34=67,'Retirement Planning'!$J$36/12,'Retirement Planning'!$J$35/12)),0))*'Retirement Planning'!$J$38</f>
        <v>1213.6000000000001</v>
      </c>
      <c r="Y465" s="7">
        <f ca="1">'Retirement Planning'!$F$35*((1+'Retirement Planning'!$J$24)^(YEAR('Projected Retirement Drawdown'!C465)-YEAR(TODAY())))</f>
        <v>19187.947033773951</v>
      </c>
      <c r="Z465" s="7">
        <f ca="1">G465+M465+O465+0.85*X465+V465*'Retirement Planning'!$J$46+T465</f>
        <v>21804.596803072371</v>
      </c>
      <c r="AA465" s="7">
        <f ca="1">IF(MONTH(C465)=1,(((MIN(MAX(0,((SUM(Z453:Z464)-'Retirement Planning'!$I$53-'Retirement Planning'!$I$54)-'Retirement Planning'!$J$51)*'Retirement Planning'!$I$52))))+(MIN(MAX(0,((SUM(Z453:Z464)-'Retirement Planning'!$I$53-'Retirement Planning'!$I$54)-'Retirement Planning'!$J$50)*'Retirement Planning'!$I$51),('Retirement Planning'!$J$51-'Retirement Planning'!$J$50)*'Retirement Planning'!$I$51))+(MIN(MAX(0,((SUM(Z453:Z464)-'Retirement Planning'!$I$53-'Retirement Planning'!$I$54)-'Retirement Planning'!$J$49)*'Retirement Planning'!$I$50),('Retirement Planning'!$J$50-'Retirement Planning'!$J$49)*'Retirement Planning'!$I$50)+MIN(MAX(0,((SUM(Z453:Z464)-'Retirement Planning'!$I$53-'Retirement Planning'!$I$54)-'Retirement Planning'!$J$48)*'Retirement Planning'!$I$49),('Retirement Planning'!$J$49-'Retirement Planning'!$J$48)*'Retirement Planning'!$I$49)+MIN(((SUM(Z453:Z464)-'Retirement Planning'!$I$53-'Retirement Planning'!$I$54))*'Retirement Planning'!$I$48,('Retirement Planning'!$J$48)*'Retirement Planning'!$I$48))+(IF((SUM(Z453:Z464)-'Retirement Planning'!$I$54-'Retirement Planning'!$I$61)&gt;'Retirement Planning'!$J$59,(SUM(Z453:Z464)-'Retirement Planning'!$I$54-'Retirement Planning'!$I$61-'Retirement Planning'!$J$59)*'Retirement Planning'!$I$60+'Retirement Planning'!$K$59,IF((SUM(Z453:Z464)-'Retirement Planning'!$I$54-'Retirement Planning'!$I$61)&gt;'Retirement Planning'!$J$58,(SUM(Z453:Z464)-'Retirement Planning'!$I$54-'Retirement Planning'!$I$61-'Retirement Planning'!$J$58)*'Retirement Planning'!$I$59+'Retirement Planning'!$K$58,IF((SUM(Z453:Z464)-'Retirement Planning'!$I$54-'Retirement Planning'!$I$61)&gt;'Retirement Planning'!$J$57,(SUM(Z453:Z464)-'Retirement Planning'!$I$54-'Retirement Planning'!$I$61-'Retirement Planning'!$J$57)*'Retirement Planning'!$I$58+'Retirement Planning'!$K$57,IF((SUM(Z453:Z464)-'Retirement Planning'!$I$54-'Retirement Planning'!$I$61)&gt;'Retirement Planning'!$J$56,(SUM(Z453:Z464)-'Retirement Planning'!$I$54-'Retirement Planning'!$I$61-'Retirement Planning'!$J$56)*'Retirement Planning'!$I$57+'Retirement Planning'!$K$56,(SUM(Z453:Z464)-'Retirement Planning'!$I$54-'Retirement Planning'!$I$61)*'Retirement Planning'!$I$56))))))/12,AA464)</f>
        <v>6118.7466350475952</v>
      </c>
      <c r="AB465" s="104">
        <f t="shared" ref="AB465" ca="1" si="213">SUM(AA465:AA476)/SUM(Z453:Z464)</f>
        <v>0.29142054903069553</v>
      </c>
      <c r="AC465" s="7">
        <f>IF(B465&lt;65,'Retirement Planning'!$J$28,0)</f>
        <v>0</v>
      </c>
      <c r="AD465" s="7">
        <f>IF(B465&lt;65,'Retirement Planning'!$J$29/12,0)</f>
        <v>0</v>
      </c>
      <c r="AE465" s="22">
        <f>'Retirement Planning'!$J$31/12</f>
        <v>58.333333333333336</v>
      </c>
      <c r="AF465" s="22">
        <f>'Retirement Planning'!$J$32/12</f>
        <v>66.666666666666671</v>
      </c>
      <c r="AG465" s="7">
        <f>IF($B465&gt;64.9,'Retirement Planning'!$J$39/12,0)</f>
        <v>183.33333333333334</v>
      </c>
      <c r="AH465" s="7">
        <f>IF($B465&gt;64.9,'Retirement Planning'!$J$40/12,0)</f>
        <v>258.33333333333331</v>
      </c>
      <c r="AI465" s="7">
        <f>IF($B465&gt;64.9,'Retirement Planning'!$J$41/12,0)</f>
        <v>558.33333333333337</v>
      </c>
      <c r="AJ465" s="7">
        <f t="shared" ca="1" si="203"/>
        <v>316.66666666666663</v>
      </c>
      <c r="AK465" s="3" t="str">
        <f t="shared" ca="1" si="190"/>
        <v>N/A</v>
      </c>
      <c r="AL465" s="6" t="str">
        <f t="shared" ca="1" si="191"/>
        <v>N/A</v>
      </c>
      <c r="AM465" s="7">
        <f t="shared" ca="1" si="204"/>
        <v>-6.8212102632969618E-13</v>
      </c>
      <c r="AN465" s="7">
        <f t="shared" ca="1" si="205"/>
        <v>26431.693668821546</v>
      </c>
      <c r="AO465" s="7">
        <f t="shared" si="206"/>
        <v>1125</v>
      </c>
    </row>
    <row r="466" spans="1:41" x14ac:dyDescent="0.2">
      <c r="A466">
        <f t="shared" si="207"/>
        <v>50</v>
      </c>
      <c r="B466" s="5">
        <f t="shared" si="208"/>
        <v>94.3</v>
      </c>
      <c r="C466" s="56">
        <f t="shared" si="209"/>
        <v>60299</v>
      </c>
      <c r="D466" s="57">
        <f ca="1">IF(AND(B465&lt;59.5,OR(B466&gt;59.5,B466=59.5)),(D465-E465+J465-K465)*(1+'Retirement Planning'!$J$23/12),(D465-E465)*(1+'Retirement Planning'!$J$23/12))</f>
        <v>1467038.965861615</v>
      </c>
      <c r="E466" s="58">
        <f t="shared" ca="1" si="198"/>
        <v>2628.9567704210931</v>
      </c>
      <c r="F466" s="57">
        <f ca="1">IF(AND(OR(B466&gt;59.5,B466=59.5),B465&lt;59.5),(F465-G465+L465-M465+N465-O465)*(1+'Retirement Planning'!$J$23/12),(F465-G465)*(1+'Retirement Planning'!$J$23/12))</f>
        <v>87245.013444974626</v>
      </c>
      <c r="G466" s="58">
        <f ca="1">IF(AND($B$10&lt;55,B466&lt;59.5),'Retirement Planning'!$J$25,IF(OR(B466&gt;59.5,B466=59.5),MAX(0,MIN(F466,IF(D466&lt;2500,((Y466+AJ466+AA466))-X466,((Y466+AJ466+AA466)*'Retirement Planning'!$J$44)-X466))),0))</f>
        <v>19541.321871745455</v>
      </c>
      <c r="H466" s="255">
        <f ca="1">IF(MONTH(C466)=1,IF(B466&gt;69.5,F466/(INDEX('Retirement Planning'!D$1:D$264,(160+INT(B466))))/12,0),IF(F466=0,0,H465))</f>
        <v>1923.418413291929</v>
      </c>
      <c r="I466" s="262">
        <f t="shared" ca="1" si="199"/>
        <v>0</v>
      </c>
      <c r="J466" s="254">
        <f ca="1">IF(AND(B465&lt;59.5,OR(B466=59.5,B466&gt;59.5)),0,(J465-K465)*(1+'Retirement Planning'!$J$23/12))</f>
        <v>0</v>
      </c>
      <c r="K466" s="58">
        <f t="shared" ca="1" si="200"/>
        <v>0</v>
      </c>
      <c r="L466" s="57">
        <f>IF(AND(OR(B466&gt;59.5,B466=59.5),B465&lt;59.5),0,(L465-M465)*(1+'Retirement Planning'!$J$23/12))</f>
        <v>0</v>
      </c>
      <c r="M466" s="59">
        <f>IF(AND($B$10&lt;55,B466&lt;59.5),0,IF(B466&lt;59.5,MAX(0,MIN((($Y466+$AJ466+AA466)*'Retirement Planning'!$J$44)-$G466-$X466,L466)),0))</f>
        <v>0</v>
      </c>
      <c r="N466" s="57">
        <f ca="1">(N465-O465)*(1+'Retirement Planning'!$J$23/12)</f>
        <v>0</v>
      </c>
      <c r="O466" s="59">
        <f ca="1">IF(B466&gt;59.5,MAX(0,MIN((AA466+$Y466+$AJ466)*(IF(D466&lt;(MIN(E454:E465)+1),1,'Retirement Planning'!$J$44))-M466-$G466-$X466-(IF(D466&lt;(MIN(E454:E465)+1),D466,0)),N466)),0)</f>
        <v>0</v>
      </c>
      <c r="P466" s="57">
        <f t="shared" si="210"/>
        <v>0</v>
      </c>
      <c r="Q466" s="58">
        <f t="shared" si="211"/>
        <v>0</v>
      </c>
      <c r="R466" s="57">
        <f ca="1">(R465-S465-T465)*(1+'Retirement Planning'!$J$23/12)</f>
        <v>2315746.6419568034</v>
      </c>
      <c r="S466" s="58">
        <f t="shared" ca="1" si="212"/>
        <v>808.33333333333337</v>
      </c>
      <c r="T466" s="273">
        <f t="shared" ca="1" si="201"/>
        <v>-4.3200998334214091E-12</v>
      </c>
      <c r="U466" s="57">
        <f ca="1">(U465-V465)*(1+'Retirement Planning'!$J$23/12)</f>
        <v>1187551.1014423855</v>
      </c>
      <c r="V466" s="24">
        <f ca="1">IF(AND($B$10&lt;55,B466&lt;59.5),MIN(U466,MAX(0,(Y466+AA466+AJ466-G466)*'Retirement Planning'!$J$45)),IF(B466&lt;59.5,(MIN(U466,MAX(0,((Y466+AA466+AJ466)-G466-M466)*'Retirement Planning'!$J$45))),MIN(U466,MAX(0,(Y466+AA466+AJ466-G466-M466-K466-X466)*'Retirement Planning'!$J$45))))</f>
        <v>2239.4816933216694</v>
      </c>
      <c r="W466" s="7">
        <f t="shared" ca="1" si="202"/>
        <v>5057581.7227057787</v>
      </c>
      <c r="X466" s="7">
        <f>(IF(B466&gt;'Retirement Planning'!$J$34,IF('Retirement Planning'!$J$34=70,'Retirement Planning'!$J$37/12,IF('Retirement Planning'!$J$34=67,'Retirement Planning'!$J$36/12,'Retirement Planning'!$J$35/12)),0))*'Retirement Planning'!$J$38</f>
        <v>1213.6000000000001</v>
      </c>
      <c r="Y466" s="7">
        <f ca="1">'Retirement Planning'!$F$35*((1+'Retirement Planning'!$J$24)^(YEAR('Projected Retirement Drawdown'!C466)-YEAR(TODAY())))</f>
        <v>19187.947033773951</v>
      </c>
      <c r="Z466" s="7">
        <f ca="1">G466+M466+O466+0.85*X466+V466*'Retirement Planning'!$J$46+T466</f>
        <v>21804.596803072371</v>
      </c>
      <c r="AA466" s="7">
        <f ca="1">IF(MONTH(C466)=1,(((MIN(MAX(0,((SUM(Z454:Z465)-'Retirement Planning'!$I$53-'Retirement Planning'!$I$54)-'Retirement Planning'!$J$51)*'Retirement Planning'!$I$52))))+(MIN(MAX(0,((SUM(Z454:Z465)-'Retirement Planning'!$I$53-'Retirement Planning'!$I$54)-'Retirement Planning'!$J$50)*'Retirement Planning'!$I$51),('Retirement Planning'!$J$51-'Retirement Planning'!$J$50)*'Retirement Planning'!$I$51))+(MIN(MAX(0,((SUM(Z454:Z465)-'Retirement Planning'!$I$53-'Retirement Planning'!$I$54)-'Retirement Planning'!$J$49)*'Retirement Planning'!$I$50),('Retirement Planning'!$J$50-'Retirement Planning'!$J$49)*'Retirement Planning'!$I$50)+MIN(MAX(0,((SUM(Z454:Z465)-'Retirement Planning'!$I$53-'Retirement Planning'!$I$54)-'Retirement Planning'!$J$48)*'Retirement Planning'!$I$49),('Retirement Planning'!$J$49-'Retirement Planning'!$J$48)*'Retirement Planning'!$I$49)+MIN(((SUM(Z454:Z465)-'Retirement Planning'!$I$53-'Retirement Planning'!$I$54))*'Retirement Planning'!$I$48,('Retirement Planning'!$J$48)*'Retirement Planning'!$I$48))+(IF((SUM(Z454:Z465)-'Retirement Planning'!$I$54-'Retirement Planning'!$I$61)&gt;'Retirement Planning'!$J$59,(SUM(Z454:Z465)-'Retirement Planning'!$I$54-'Retirement Planning'!$I$61-'Retirement Planning'!$J$59)*'Retirement Planning'!$I$60+'Retirement Planning'!$K$59,IF((SUM(Z454:Z465)-'Retirement Planning'!$I$54-'Retirement Planning'!$I$61)&gt;'Retirement Planning'!$J$58,(SUM(Z454:Z465)-'Retirement Planning'!$I$54-'Retirement Planning'!$I$61-'Retirement Planning'!$J$58)*'Retirement Planning'!$I$59+'Retirement Planning'!$K$58,IF((SUM(Z454:Z465)-'Retirement Planning'!$I$54-'Retirement Planning'!$I$61)&gt;'Retirement Planning'!$J$57,(SUM(Z454:Z465)-'Retirement Planning'!$I$54-'Retirement Planning'!$I$61-'Retirement Planning'!$J$57)*'Retirement Planning'!$I$58+'Retirement Planning'!$K$57,IF((SUM(Z454:Z465)-'Retirement Planning'!$I$54-'Retirement Planning'!$I$61)&gt;'Retirement Planning'!$J$56,(SUM(Z454:Z465)-'Retirement Planning'!$I$54-'Retirement Planning'!$I$61-'Retirement Planning'!$J$56)*'Retirement Planning'!$I$57+'Retirement Planning'!$K$56,(SUM(Z454:Z465)-'Retirement Planning'!$I$54-'Retirement Planning'!$I$61)*'Retirement Planning'!$I$56))))))/12,AA465)</f>
        <v>6118.7466350475952</v>
      </c>
      <c r="AB466" s="104">
        <f t="shared" ref="AB466:AB500" ca="1" si="214">AB465</f>
        <v>0.29142054903069553</v>
      </c>
      <c r="AC466" s="7">
        <f>IF(B466&lt;65,'Retirement Planning'!$J$28,0)</f>
        <v>0</v>
      </c>
      <c r="AD466" s="7">
        <f>IF(B466&lt;65,'Retirement Planning'!$J$29/12,0)</f>
        <v>0</v>
      </c>
      <c r="AE466" s="22">
        <f>'Retirement Planning'!$J$31/12</f>
        <v>58.333333333333336</v>
      </c>
      <c r="AF466" s="22">
        <f>'Retirement Planning'!$J$32/12</f>
        <v>66.666666666666671</v>
      </c>
      <c r="AG466" s="7">
        <f>IF($B466&gt;64.9,'Retirement Planning'!$J$39/12,0)</f>
        <v>183.33333333333334</v>
      </c>
      <c r="AH466" s="7">
        <f>IF($B466&gt;64.9,'Retirement Planning'!$J$40/12,0)</f>
        <v>258.33333333333331</v>
      </c>
      <c r="AI466" s="7">
        <f>IF($B466&gt;64.9,'Retirement Planning'!$J$41/12,0)</f>
        <v>558.33333333333337</v>
      </c>
      <c r="AJ466" s="7">
        <f t="shared" ca="1" si="203"/>
        <v>316.66666666666663</v>
      </c>
      <c r="AK466" s="3" t="str">
        <f t="shared" ca="1" si="190"/>
        <v>N/A</v>
      </c>
      <c r="AL466" s="6" t="str">
        <f t="shared" ca="1" si="191"/>
        <v>N/A</v>
      </c>
      <c r="AM466" s="7">
        <f t="shared" ca="1" si="204"/>
        <v>-6.8212102632969618E-13</v>
      </c>
      <c r="AN466" s="7">
        <f t="shared" ca="1" si="205"/>
        <v>26431.693668821546</v>
      </c>
      <c r="AO466" s="7">
        <f t="shared" si="206"/>
        <v>1125</v>
      </c>
    </row>
    <row r="467" spans="1:41" x14ac:dyDescent="0.2">
      <c r="A467">
        <f t="shared" si="207"/>
        <v>50</v>
      </c>
      <c r="B467" s="5">
        <f t="shared" si="208"/>
        <v>94.4</v>
      </c>
      <c r="C467" s="56">
        <f t="shared" si="209"/>
        <v>60327</v>
      </c>
      <c r="D467" s="57">
        <f ca="1">IF(AND(B466&lt;59.5,OR(B467&gt;59.5,B467=59.5)),(D466-E466+J466-K466)*(1+'Retirement Planning'!$J$23/12),(D466-E466)*(1+'Retirement Planning'!$J$23/12))</f>
        <v>1474782.9133222566</v>
      </c>
      <c r="E467" s="58">
        <f t="shared" ca="1" si="198"/>
        <v>2628.9567704210931</v>
      </c>
      <c r="F467" s="57">
        <f ca="1">IF(AND(OR(B467&gt;59.5,B467=59.5),B466&lt;59.5),(F466-G466+L466-M466+N466-O466)*(1+'Retirement Planning'!$J$23/12),(F466-G466)*(1+'Retirement Planning'!$J$23/12))</f>
        <v>68183.259388539547</v>
      </c>
      <c r="G467" s="58">
        <f ca="1">IF(AND($B$10&lt;55,B467&lt;59.5),'Retirement Planning'!$J$25,IF(OR(B467&gt;59.5,B467=59.5),MAX(0,MIN(F467,IF(D467&lt;2500,((Y467+AJ467+AA467))-X467,((Y467+AJ467+AA467)*'Retirement Planning'!$J$44)-X467))),0))</f>
        <v>19541.321871745455</v>
      </c>
      <c r="H467" s="255">
        <f ca="1">IF(MONTH(C467)=1,IF(B467&gt;69.5,F467/(INDEX('Retirement Planning'!D$1:D$264,(160+INT(B467))))/12,0),IF(F467=0,0,H466))</f>
        <v>1923.418413291929</v>
      </c>
      <c r="I467" s="262">
        <f t="shared" ca="1" si="199"/>
        <v>0</v>
      </c>
      <c r="J467" s="254">
        <f ca="1">IF(AND(B466&lt;59.5,OR(B467=59.5,B467&gt;59.5)),0,(J466-K466)*(1+'Retirement Planning'!$J$23/12))</f>
        <v>0</v>
      </c>
      <c r="K467" s="58">
        <f t="shared" ca="1" si="200"/>
        <v>0</v>
      </c>
      <c r="L467" s="57">
        <f>IF(AND(OR(B467&gt;59.5,B467=59.5),B466&lt;59.5),0,(L466-M466)*(1+'Retirement Planning'!$J$23/12))</f>
        <v>0</v>
      </c>
      <c r="M467" s="59">
        <f>IF(AND($B$10&lt;55,B467&lt;59.5),0,IF(B467&lt;59.5,MAX(0,MIN((($Y467+$AJ467+AA467)*'Retirement Planning'!$J$44)-$G467-$X467,L467)),0))</f>
        <v>0</v>
      </c>
      <c r="N467" s="57">
        <f ca="1">(N466-O466)*(1+'Retirement Planning'!$J$23/12)</f>
        <v>0</v>
      </c>
      <c r="O467" s="59">
        <f ca="1">IF(B467&gt;59.5,MAX(0,MIN((AA467+$Y467+$AJ467)*(IF(D467&lt;(MIN(E455:E466)+1),1,'Retirement Planning'!$J$44))-M467-$G467-$X467-(IF(D467&lt;(MIN(E455:E466)+1),D467,0)),N467)),0)</f>
        <v>0</v>
      </c>
      <c r="P467" s="57">
        <f t="shared" si="210"/>
        <v>0</v>
      </c>
      <c r="Q467" s="58">
        <f t="shared" si="211"/>
        <v>0</v>
      </c>
      <c r="R467" s="57">
        <f ca="1">(R466-S466-T466)*(1+'Retirement Planning'!$J$23/12)</f>
        <v>2331335.7883095527</v>
      </c>
      <c r="S467" s="58">
        <f t="shared" ca="1" si="212"/>
        <v>808.33333333333337</v>
      </c>
      <c r="T467" s="273">
        <f t="shared" ca="1" si="201"/>
        <v>-4.3200998334214091E-12</v>
      </c>
      <c r="U467" s="57">
        <f ca="1">(U466-V466)*(1+'Retirement Planning'!$J$23/12)</f>
        <v>1193707.5770556198</v>
      </c>
      <c r="V467" s="24">
        <f ca="1">IF(AND($B$10&lt;55,B467&lt;59.5),MIN(U467,MAX(0,(Y467+AA467+AJ467-G467)*'Retirement Planning'!$J$45)),IF(B467&lt;59.5,(MIN(U467,MAX(0,((Y467+AA467+AJ467)-G467-M467)*'Retirement Planning'!$J$45))),MIN(U467,MAX(0,(Y467+AA467+AJ467-G467-M467-K467-X467)*'Retirement Planning'!$J$45))))</f>
        <v>2239.4816933216694</v>
      </c>
      <c r="W467" s="7">
        <f t="shared" ca="1" si="202"/>
        <v>5068009.5380759686</v>
      </c>
      <c r="X467" s="7">
        <f>(IF(B467&gt;'Retirement Planning'!$J$34,IF('Retirement Planning'!$J$34=70,'Retirement Planning'!$J$37/12,IF('Retirement Planning'!$J$34=67,'Retirement Planning'!$J$36/12,'Retirement Planning'!$J$35/12)),0))*'Retirement Planning'!$J$38</f>
        <v>1213.6000000000001</v>
      </c>
      <c r="Y467" s="7">
        <f ca="1">'Retirement Planning'!$F$35*((1+'Retirement Planning'!$J$24)^(YEAR('Projected Retirement Drawdown'!C467)-YEAR(TODAY())))</f>
        <v>19187.947033773951</v>
      </c>
      <c r="Z467" s="7">
        <f ca="1">G467+M467+O467+0.85*X467+V467*'Retirement Planning'!$J$46+T467</f>
        <v>21804.596803072371</v>
      </c>
      <c r="AA467" s="7">
        <f ca="1">IF(MONTH(C467)=1,(((MIN(MAX(0,((SUM(Z455:Z466)-'Retirement Planning'!$I$53-'Retirement Planning'!$I$54)-'Retirement Planning'!$J$51)*'Retirement Planning'!$I$52))))+(MIN(MAX(0,((SUM(Z455:Z466)-'Retirement Planning'!$I$53-'Retirement Planning'!$I$54)-'Retirement Planning'!$J$50)*'Retirement Planning'!$I$51),('Retirement Planning'!$J$51-'Retirement Planning'!$J$50)*'Retirement Planning'!$I$51))+(MIN(MAX(0,((SUM(Z455:Z466)-'Retirement Planning'!$I$53-'Retirement Planning'!$I$54)-'Retirement Planning'!$J$49)*'Retirement Planning'!$I$50),('Retirement Planning'!$J$50-'Retirement Planning'!$J$49)*'Retirement Planning'!$I$50)+MIN(MAX(0,((SUM(Z455:Z466)-'Retirement Planning'!$I$53-'Retirement Planning'!$I$54)-'Retirement Planning'!$J$48)*'Retirement Planning'!$I$49),('Retirement Planning'!$J$49-'Retirement Planning'!$J$48)*'Retirement Planning'!$I$49)+MIN(((SUM(Z455:Z466)-'Retirement Planning'!$I$53-'Retirement Planning'!$I$54))*'Retirement Planning'!$I$48,('Retirement Planning'!$J$48)*'Retirement Planning'!$I$48))+(IF((SUM(Z455:Z466)-'Retirement Planning'!$I$54-'Retirement Planning'!$I$61)&gt;'Retirement Planning'!$J$59,(SUM(Z455:Z466)-'Retirement Planning'!$I$54-'Retirement Planning'!$I$61-'Retirement Planning'!$J$59)*'Retirement Planning'!$I$60+'Retirement Planning'!$K$59,IF((SUM(Z455:Z466)-'Retirement Planning'!$I$54-'Retirement Planning'!$I$61)&gt;'Retirement Planning'!$J$58,(SUM(Z455:Z466)-'Retirement Planning'!$I$54-'Retirement Planning'!$I$61-'Retirement Planning'!$J$58)*'Retirement Planning'!$I$59+'Retirement Planning'!$K$58,IF((SUM(Z455:Z466)-'Retirement Planning'!$I$54-'Retirement Planning'!$I$61)&gt;'Retirement Planning'!$J$57,(SUM(Z455:Z466)-'Retirement Planning'!$I$54-'Retirement Planning'!$I$61-'Retirement Planning'!$J$57)*'Retirement Planning'!$I$58+'Retirement Planning'!$K$57,IF((SUM(Z455:Z466)-'Retirement Planning'!$I$54-'Retirement Planning'!$I$61)&gt;'Retirement Planning'!$J$56,(SUM(Z455:Z466)-'Retirement Planning'!$I$54-'Retirement Planning'!$I$61-'Retirement Planning'!$J$56)*'Retirement Planning'!$I$57+'Retirement Planning'!$K$56,(SUM(Z455:Z466)-'Retirement Planning'!$I$54-'Retirement Planning'!$I$61)*'Retirement Planning'!$I$56))))))/12,AA466)</f>
        <v>6118.7466350475952</v>
      </c>
      <c r="AB467" s="104">
        <f t="shared" ca="1" si="193"/>
        <v>0.29142054903069553</v>
      </c>
      <c r="AC467" s="7">
        <f>IF(B467&lt;65,'Retirement Planning'!$J$28,0)</f>
        <v>0</v>
      </c>
      <c r="AD467" s="7">
        <f>IF(B467&lt;65,'Retirement Planning'!$J$29/12,0)</f>
        <v>0</v>
      </c>
      <c r="AE467" s="22">
        <f>'Retirement Planning'!$J$31/12</f>
        <v>58.333333333333336</v>
      </c>
      <c r="AF467" s="22">
        <f>'Retirement Planning'!$J$32/12</f>
        <v>66.666666666666671</v>
      </c>
      <c r="AG467" s="7">
        <f>IF($B467&gt;64.9,'Retirement Planning'!$J$39/12,0)</f>
        <v>183.33333333333334</v>
      </c>
      <c r="AH467" s="7">
        <f>IF($B467&gt;64.9,'Retirement Planning'!$J$40/12,0)</f>
        <v>258.33333333333331</v>
      </c>
      <c r="AI467" s="7">
        <f>IF($B467&gt;64.9,'Retirement Planning'!$J$41/12,0)</f>
        <v>558.33333333333337</v>
      </c>
      <c r="AJ467" s="7">
        <f t="shared" ca="1" si="203"/>
        <v>316.66666666666663</v>
      </c>
      <c r="AK467" s="3" t="str">
        <f t="shared" ca="1" si="190"/>
        <v>N/A</v>
      </c>
      <c r="AL467" s="6" t="str">
        <f t="shared" ca="1" si="191"/>
        <v>N/A</v>
      </c>
      <c r="AM467" s="7">
        <f t="shared" ca="1" si="204"/>
        <v>-6.8212102632969618E-13</v>
      </c>
      <c r="AN467" s="7">
        <f t="shared" ca="1" si="205"/>
        <v>26431.693668821546</v>
      </c>
      <c r="AO467" s="7">
        <f t="shared" si="206"/>
        <v>1125</v>
      </c>
    </row>
    <row r="468" spans="1:41" x14ac:dyDescent="0.2">
      <c r="A468">
        <f t="shared" si="207"/>
        <v>50</v>
      </c>
      <c r="B468" s="5">
        <f t="shared" si="208"/>
        <v>94.5</v>
      </c>
      <c r="C468" s="56">
        <f t="shared" si="209"/>
        <v>60358</v>
      </c>
      <c r="D468" s="57">
        <f ca="1">IF(AND(B467&lt;59.5,OR(B468&gt;59.5,B468=59.5)),(D467-E467+J467-K467)*(1+'Retirement Planning'!$J$23/12),(D467-E467)*(1+'Retirement Planning'!$J$23/12))</f>
        <v>1482581.7137440778</v>
      </c>
      <c r="E468" s="58">
        <f t="shared" ca="1" si="198"/>
        <v>2628.9567704210931</v>
      </c>
      <c r="F468" s="57">
        <f ca="1">IF(AND(OR(B468&gt;59.5,B468=59.5),B467&lt;59.5),(F467-G467+L467-M467+N467-O467)*(1+'Retirement Planning'!$J$23/12),(F467-G467)*(1+'Retirement Planning'!$J$23/12))</f>
        <v>48986.484574204711</v>
      </c>
      <c r="G468" s="58">
        <f ca="1">IF(AND($B$10&lt;55,B468&lt;59.5),'Retirement Planning'!$J$25,IF(OR(B468&gt;59.5,B468=59.5),MAX(0,MIN(F468,IF(D468&lt;2500,((Y468+AJ468+AA468))-X468,((Y468+AJ468+AA468)*'Retirement Planning'!$J$44)-X468))),0))</f>
        <v>19541.321871745455</v>
      </c>
      <c r="H468" s="255">
        <f ca="1">IF(MONTH(C468)=1,IF(B468&gt;69.5,F468/(INDEX('Retirement Planning'!D$1:D$264,(160+INT(B468))))/12,0),IF(F468=0,0,H467))</f>
        <v>1923.418413291929</v>
      </c>
      <c r="I468" s="262">
        <f t="shared" ca="1" si="199"/>
        <v>0</v>
      </c>
      <c r="J468" s="254">
        <f ca="1">IF(AND(B467&lt;59.5,OR(B468=59.5,B468&gt;59.5)),0,(J467-K467)*(1+'Retirement Planning'!$J$23/12))</f>
        <v>0</v>
      </c>
      <c r="K468" s="58">
        <f t="shared" ca="1" si="200"/>
        <v>0</v>
      </c>
      <c r="L468" s="57">
        <f>IF(AND(OR(B468&gt;59.5,B468=59.5),B467&lt;59.5),0,(L467-M467)*(1+'Retirement Planning'!$J$23/12))</f>
        <v>0</v>
      </c>
      <c r="M468" s="59">
        <f>IF(AND($B$10&lt;55,B468&lt;59.5),0,IF(B468&lt;59.5,MAX(0,MIN((($Y468+$AJ468+AA468)*'Retirement Planning'!$J$44)-$G468-$X468,L468)),0))</f>
        <v>0</v>
      </c>
      <c r="N468" s="57">
        <f ca="1">(N467-O467)*(1+'Retirement Planning'!$J$23/12)</f>
        <v>0</v>
      </c>
      <c r="O468" s="59">
        <f ca="1">IF(B468&gt;59.5,MAX(0,MIN((AA468+$Y468+$AJ468)*(IF(D468&lt;(MIN(E456:E467)+1),1,'Retirement Planning'!$J$44))-M468-$G468-$X468-(IF(D468&lt;(MIN(E456:E467)+1),D468,0)),N468)),0)</f>
        <v>0</v>
      </c>
      <c r="P468" s="57">
        <f t="shared" si="210"/>
        <v>0</v>
      </c>
      <c r="Q468" s="58">
        <f t="shared" si="211"/>
        <v>0</v>
      </c>
      <c r="R468" s="57">
        <f ca="1">(R467-S467-T467)*(1+'Retirement Planning'!$J$23/12)</f>
        <v>2347035.3577823006</v>
      </c>
      <c r="S468" s="58">
        <f t="shared" ca="1" si="212"/>
        <v>808.33333333333337</v>
      </c>
      <c r="T468" s="273">
        <f t="shared" ca="1" si="201"/>
        <v>-4.3200998334214091E-12</v>
      </c>
      <c r="U468" s="57">
        <f ca="1">(U467-V467)*(1+'Retirement Planning'!$J$23/12)</f>
        <v>1199907.661037781</v>
      </c>
      <c r="V468" s="24">
        <f ca="1">IF(AND($B$10&lt;55,B468&lt;59.5),MIN(U468,MAX(0,(Y468+AA468+AJ468-G468)*'Retirement Planning'!$J$45)),IF(B468&lt;59.5,(MIN(U468,MAX(0,((Y468+AA468+AJ468)-G468-M468)*'Retirement Planning'!$J$45))),MIN(U468,MAX(0,(Y468+AA468+AJ468-G468-M468-K468-X468)*'Retirement Planning'!$J$45))))</f>
        <v>2239.4816933216694</v>
      </c>
      <c r="W468" s="7">
        <f t="shared" ca="1" si="202"/>
        <v>5078511.217138364</v>
      </c>
      <c r="X468" s="7">
        <f>(IF(B468&gt;'Retirement Planning'!$J$34,IF('Retirement Planning'!$J$34=70,'Retirement Planning'!$J$37/12,IF('Retirement Planning'!$J$34=67,'Retirement Planning'!$J$36/12,'Retirement Planning'!$J$35/12)),0))*'Retirement Planning'!$J$38</f>
        <v>1213.6000000000001</v>
      </c>
      <c r="Y468" s="7">
        <f ca="1">'Retirement Planning'!$F$35*((1+'Retirement Planning'!$J$24)^(YEAR('Projected Retirement Drawdown'!C468)-YEAR(TODAY())))</f>
        <v>19187.947033773951</v>
      </c>
      <c r="Z468" s="7">
        <f ca="1">G468+M468+O468+0.85*X468+V468*'Retirement Planning'!$J$46+T468</f>
        <v>21804.596803072371</v>
      </c>
      <c r="AA468" s="7">
        <f ca="1">IF(MONTH(C468)=1,(((MIN(MAX(0,((SUM(Z456:Z467)-'Retirement Planning'!$I$53-'Retirement Planning'!$I$54)-'Retirement Planning'!$J$51)*'Retirement Planning'!$I$52))))+(MIN(MAX(0,((SUM(Z456:Z467)-'Retirement Planning'!$I$53-'Retirement Planning'!$I$54)-'Retirement Planning'!$J$50)*'Retirement Planning'!$I$51),('Retirement Planning'!$J$51-'Retirement Planning'!$J$50)*'Retirement Planning'!$I$51))+(MIN(MAX(0,((SUM(Z456:Z467)-'Retirement Planning'!$I$53-'Retirement Planning'!$I$54)-'Retirement Planning'!$J$49)*'Retirement Planning'!$I$50),('Retirement Planning'!$J$50-'Retirement Planning'!$J$49)*'Retirement Planning'!$I$50)+MIN(MAX(0,((SUM(Z456:Z467)-'Retirement Planning'!$I$53-'Retirement Planning'!$I$54)-'Retirement Planning'!$J$48)*'Retirement Planning'!$I$49),('Retirement Planning'!$J$49-'Retirement Planning'!$J$48)*'Retirement Planning'!$I$49)+MIN(((SUM(Z456:Z467)-'Retirement Planning'!$I$53-'Retirement Planning'!$I$54))*'Retirement Planning'!$I$48,('Retirement Planning'!$J$48)*'Retirement Planning'!$I$48))+(IF((SUM(Z456:Z467)-'Retirement Planning'!$I$54-'Retirement Planning'!$I$61)&gt;'Retirement Planning'!$J$59,(SUM(Z456:Z467)-'Retirement Planning'!$I$54-'Retirement Planning'!$I$61-'Retirement Planning'!$J$59)*'Retirement Planning'!$I$60+'Retirement Planning'!$K$59,IF((SUM(Z456:Z467)-'Retirement Planning'!$I$54-'Retirement Planning'!$I$61)&gt;'Retirement Planning'!$J$58,(SUM(Z456:Z467)-'Retirement Planning'!$I$54-'Retirement Planning'!$I$61-'Retirement Planning'!$J$58)*'Retirement Planning'!$I$59+'Retirement Planning'!$K$58,IF((SUM(Z456:Z467)-'Retirement Planning'!$I$54-'Retirement Planning'!$I$61)&gt;'Retirement Planning'!$J$57,(SUM(Z456:Z467)-'Retirement Planning'!$I$54-'Retirement Planning'!$I$61-'Retirement Planning'!$J$57)*'Retirement Planning'!$I$58+'Retirement Planning'!$K$57,IF((SUM(Z456:Z467)-'Retirement Planning'!$I$54-'Retirement Planning'!$I$61)&gt;'Retirement Planning'!$J$56,(SUM(Z456:Z467)-'Retirement Planning'!$I$54-'Retirement Planning'!$I$61-'Retirement Planning'!$J$56)*'Retirement Planning'!$I$57+'Retirement Planning'!$K$56,(SUM(Z456:Z467)-'Retirement Planning'!$I$54-'Retirement Planning'!$I$61)*'Retirement Planning'!$I$56))))))/12,AA467)</f>
        <v>6118.7466350475952</v>
      </c>
      <c r="AB468" s="104">
        <f t="shared" ca="1" si="193"/>
        <v>0.29142054903069553</v>
      </c>
      <c r="AC468" s="7">
        <f>IF(B468&lt;65,'Retirement Planning'!$J$28,0)</f>
        <v>0</v>
      </c>
      <c r="AD468" s="7">
        <f>IF(B468&lt;65,'Retirement Planning'!$J$29/12,0)</f>
        <v>0</v>
      </c>
      <c r="AE468" s="22">
        <f>'Retirement Planning'!$J$31/12</f>
        <v>58.333333333333336</v>
      </c>
      <c r="AF468" s="22">
        <f>'Retirement Planning'!$J$32/12</f>
        <v>66.666666666666671</v>
      </c>
      <c r="AG468" s="7">
        <f>IF($B468&gt;64.9,'Retirement Planning'!$J$39/12,0)</f>
        <v>183.33333333333334</v>
      </c>
      <c r="AH468" s="7">
        <f>IF($B468&gt;64.9,'Retirement Planning'!$J$40/12,0)</f>
        <v>258.33333333333331</v>
      </c>
      <c r="AI468" s="7">
        <f>IF($B468&gt;64.9,'Retirement Planning'!$J$41/12,0)</f>
        <v>558.33333333333337</v>
      </c>
      <c r="AJ468" s="7">
        <f t="shared" ca="1" si="203"/>
        <v>316.66666666666663</v>
      </c>
      <c r="AK468" s="3" t="str">
        <f t="shared" ca="1" si="190"/>
        <v>N/A</v>
      </c>
      <c r="AL468" s="6" t="str">
        <f t="shared" ca="1" si="191"/>
        <v>N/A</v>
      </c>
      <c r="AM468" s="7">
        <f t="shared" ca="1" si="204"/>
        <v>-6.8212102632969618E-13</v>
      </c>
      <c r="AN468" s="7">
        <f t="shared" ca="1" si="205"/>
        <v>26431.693668821546</v>
      </c>
      <c r="AO468" s="7">
        <f t="shared" si="206"/>
        <v>1125</v>
      </c>
    </row>
    <row r="469" spans="1:41" x14ac:dyDescent="0.2">
      <c r="A469">
        <f t="shared" si="207"/>
        <v>50</v>
      </c>
      <c r="B469" s="5">
        <f t="shared" si="208"/>
        <v>94.5</v>
      </c>
      <c r="C469" s="56">
        <f t="shared" si="209"/>
        <v>60388</v>
      </c>
      <c r="D469" s="57">
        <f ca="1">IF(AND(B468&lt;59.5,OR(B469&gt;59.5,B469=59.5)),(D468-E468+J468-K468)*(1+'Retirement Planning'!$J$23/12),(D468-E468)*(1+'Retirement Planning'!$J$23/12))</f>
        <v>1490435.7556688869</v>
      </c>
      <c r="E469" s="58">
        <f t="shared" ca="1" si="198"/>
        <v>2628.9567704210931</v>
      </c>
      <c r="F469" s="57">
        <f ca="1">IF(AND(OR(B469&gt;59.5,B469=59.5),B468&lt;59.5),(F468-G468+L468-M468+N468-O468)*(1+'Retirement Planning'!$J$23/12),(F468-G468)*(1+'Retirement Planning'!$J$23/12))</f>
        <v>29653.732604935009</v>
      </c>
      <c r="G469" s="58">
        <f ca="1">IF(AND($B$10&lt;55,B469&lt;59.5),'Retirement Planning'!$J$25,IF(OR(B469&gt;59.5,B469=59.5),MAX(0,MIN(F469,IF(D469&lt;2500,((Y469+AJ469+AA469))-X469,((Y469+AJ469+AA469)*'Retirement Planning'!$J$44)-X469))),0))</f>
        <v>19541.321871745455</v>
      </c>
      <c r="H469" s="255">
        <f ca="1">IF(MONTH(C469)=1,IF(B469&gt;69.5,F469/(INDEX('Retirement Planning'!D$1:D$264,(160+INT(B469))))/12,0),IF(F469=0,0,H468))</f>
        <v>1923.418413291929</v>
      </c>
      <c r="I469" s="262">
        <f t="shared" ca="1" si="199"/>
        <v>0</v>
      </c>
      <c r="J469" s="254">
        <f ca="1">IF(AND(B468&lt;59.5,OR(B469=59.5,B469&gt;59.5)),0,(J468-K468)*(1+'Retirement Planning'!$J$23/12))</f>
        <v>0</v>
      </c>
      <c r="K469" s="58">
        <f t="shared" ca="1" si="200"/>
        <v>0</v>
      </c>
      <c r="L469" s="57">
        <f>IF(AND(OR(B469&gt;59.5,B469=59.5),B468&lt;59.5),0,(L468-M468)*(1+'Retirement Planning'!$J$23/12))</f>
        <v>0</v>
      </c>
      <c r="M469" s="59">
        <f>IF(AND($B$10&lt;55,B469&lt;59.5),0,IF(B469&lt;59.5,MAX(0,MIN((($Y469+$AJ469+AA469)*'Retirement Planning'!$J$44)-$G469-$X469,L469)),0))</f>
        <v>0</v>
      </c>
      <c r="N469" s="57">
        <f ca="1">(N468-O468)*(1+'Retirement Planning'!$J$23/12)</f>
        <v>0</v>
      </c>
      <c r="O469" s="59">
        <f ca="1">IF(B469&gt;59.5,MAX(0,MIN((AA469+$Y469+$AJ469)*(IF(D469&lt;(MIN(E457:E468)+1),1,'Retirement Planning'!$J$44))-M469-$G469-$X469-(IF(D469&lt;(MIN(E457:E468)+1),D469,0)),N469)),0)</f>
        <v>0</v>
      </c>
      <c r="P469" s="57">
        <f t="shared" si="210"/>
        <v>0</v>
      </c>
      <c r="Q469" s="58">
        <f t="shared" si="211"/>
        <v>0</v>
      </c>
      <c r="R469" s="57">
        <f ca="1">(R468-S468-T468)*(1+'Retirement Planning'!$J$23/12)</f>
        <v>2362846.1325388141</v>
      </c>
      <c r="S469" s="58">
        <f t="shared" ca="1" si="212"/>
        <v>808.33333333333337</v>
      </c>
      <c r="T469" s="273">
        <f t="shared" ca="1" si="201"/>
        <v>-4.3200998334214091E-12</v>
      </c>
      <c r="U469" s="57">
        <f ca="1">(U468-V468)*(1+'Retirement Planning'!$J$23/12)</f>
        <v>1206151.6622814827</v>
      </c>
      <c r="V469" s="24">
        <f ca="1">IF(AND($B$10&lt;55,B469&lt;59.5),MIN(U469,MAX(0,(Y469+AA469+AJ469-G469)*'Retirement Planning'!$J$45)),IF(B469&lt;59.5,(MIN(U469,MAX(0,((Y469+AA469+AJ469)-G469-M469)*'Retirement Planning'!$J$45))),MIN(U469,MAX(0,(Y469+AA469+AJ469-G469-M469-K469-X469)*'Retirement Planning'!$J$45))))</f>
        <v>2239.4816933216694</v>
      </c>
      <c r="W469" s="7">
        <f t="shared" ca="1" si="202"/>
        <v>5089087.2830941183</v>
      </c>
      <c r="X469" s="7">
        <f>(IF(B469&gt;'Retirement Planning'!$J$34,IF('Retirement Planning'!$J$34=70,'Retirement Planning'!$J$37/12,IF('Retirement Planning'!$J$34=67,'Retirement Planning'!$J$36/12,'Retirement Planning'!$J$35/12)),0))*'Retirement Planning'!$J$38</f>
        <v>1213.6000000000001</v>
      </c>
      <c r="Y469" s="7">
        <f ca="1">'Retirement Planning'!$F$35*((1+'Retirement Planning'!$J$24)^(YEAR('Projected Retirement Drawdown'!C469)-YEAR(TODAY())))</f>
        <v>19187.947033773951</v>
      </c>
      <c r="Z469" s="7">
        <f ca="1">G469+M469+O469+0.85*X469+V469*'Retirement Planning'!$J$46+T469</f>
        <v>21804.596803072371</v>
      </c>
      <c r="AA469" s="7">
        <f ca="1">IF(MONTH(C469)=1,(((MIN(MAX(0,((SUM(Z457:Z468)-'Retirement Planning'!$I$53-'Retirement Planning'!$I$54)-'Retirement Planning'!$J$51)*'Retirement Planning'!$I$52))))+(MIN(MAX(0,((SUM(Z457:Z468)-'Retirement Planning'!$I$53-'Retirement Planning'!$I$54)-'Retirement Planning'!$J$50)*'Retirement Planning'!$I$51),('Retirement Planning'!$J$51-'Retirement Planning'!$J$50)*'Retirement Planning'!$I$51))+(MIN(MAX(0,((SUM(Z457:Z468)-'Retirement Planning'!$I$53-'Retirement Planning'!$I$54)-'Retirement Planning'!$J$49)*'Retirement Planning'!$I$50),('Retirement Planning'!$J$50-'Retirement Planning'!$J$49)*'Retirement Planning'!$I$50)+MIN(MAX(0,((SUM(Z457:Z468)-'Retirement Planning'!$I$53-'Retirement Planning'!$I$54)-'Retirement Planning'!$J$48)*'Retirement Planning'!$I$49),('Retirement Planning'!$J$49-'Retirement Planning'!$J$48)*'Retirement Planning'!$I$49)+MIN(((SUM(Z457:Z468)-'Retirement Planning'!$I$53-'Retirement Planning'!$I$54))*'Retirement Planning'!$I$48,('Retirement Planning'!$J$48)*'Retirement Planning'!$I$48))+(IF((SUM(Z457:Z468)-'Retirement Planning'!$I$54-'Retirement Planning'!$I$61)&gt;'Retirement Planning'!$J$59,(SUM(Z457:Z468)-'Retirement Planning'!$I$54-'Retirement Planning'!$I$61-'Retirement Planning'!$J$59)*'Retirement Planning'!$I$60+'Retirement Planning'!$K$59,IF((SUM(Z457:Z468)-'Retirement Planning'!$I$54-'Retirement Planning'!$I$61)&gt;'Retirement Planning'!$J$58,(SUM(Z457:Z468)-'Retirement Planning'!$I$54-'Retirement Planning'!$I$61-'Retirement Planning'!$J$58)*'Retirement Planning'!$I$59+'Retirement Planning'!$K$58,IF((SUM(Z457:Z468)-'Retirement Planning'!$I$54-'Retirement Planning'!$I$61)&gt;'Retirement Planning'!$J$57,(SUM(Z457:Z468)-'Retirement Planning'!$I$54-'Retirement Planning'!$I$61-'Retirement Planning'!$J$57)*'Retirement Planning'!$I$58+'Retirement Planning'!$K$57,IF((SUM(Z457:Z468)-'Retirement Planning'!$I$54-'Retirement Planning'!$I$61)&gt;'Retirement Planning'!$J$56,(SUM(Z457:Z468)-'Retirement Planning'!$I$54-'Retirement Planning'!$I$61-'Retirement Planning'!$J$56)*'Retirement Planning'!$I$57+'Retirement Planning'!$K$56,(SUM(Z457:Z468)-'Retirement Planning'!$I$54-'Retirement Planning'!$I$61)*'Retirement Planning'!$I$56))))))/12,AA468)</f>
        <v>6118.7466350475952</v>
      </c>
      <c r="AB469" s="104">
        <f t="shared" ca="1" si="193"/>
        <v>0.29142054903069553</v>
      </c>
      <c r="AC469" s="7">
        <f>IF(B469&lt;65,'Retirement Planning'!$J$28,0)</f>
        <v>0</v>
      </c>
      <c r="AD469" s="7">
        <f>IF(B469&lt;65,'Retirement Planning'!$J$29/12,0)</f>
        <v>0</v>
      </c>
      <c r="AE469" s="22">
        <f>'Retirement Planning'!$J$31/12</f>
        <v>58.333333333333336</v>
      </c>
      <c r="AF469" s="22">
        <f>'Retirement Planning'!$J$32/12</f>
        <v>66.666666666666671</v>
      </c>
      <c r="AG469" s="7">
        <f>IF($B469&gt;64.9,'Retirement Planning'!$J$39/12,0)</f>
        <v>183.33333333333334</v>
      </c>
      <c r="AH469" s="7">
        <f>IF($B469&gt;64.9,'Retirement Planning'!$J$40/12,0)</f>
        <v>258.33333333333331</v>
      </c>
      <c r="AI469" s="7">
        <f>IF($B469&gt;64.9,'Retirement Planning'!$J$41/12,0)</f>
        <v>558.33333333333337</v>
      </c>
      <c r="AJ469" s="7">
        <f t="shared" ca="1" si="203"/>
        <v>316.66666666666663</v>
      </c>
      <c r="AK469" s="3" t="str">
        <f t="shared" ca="1" si="190"/>
        <v>N/A</v>
      </c>
      <c r="AL469" s="6" t="str">
        <f t="shared" ca="1" si="191"/>
        <v>N/A</v>
      </c>
      <c r="AM469" s="7">
        <f t="shared" ca="1" si="204"/>
        <v>-6.8212102632969618E-13</v>
      </c>
      <c r="AN469" s="7">
        <f t="shared" ca="1" si="205"/>
        <v>26431.693668821546</v>
      </c>
      <c r="AO469" s="7">
        <f t="shared" si="206"/>
        <v>1125</v>
      </c>
    </row>
    <row r="470" spans="1:41" x14ac:dyDescent="0.2">
      <c r="A470">
        <f t="shared" si="207"/>
        <v>50</v>
      </c>
      <c r="B470" s="5">
        <f t="shared" si="208"/>
        <v>94.6</v>
      </c>
      <c r="C470" s="56">
        <f t="shared" si="209"/>
        <v>60419</v>
      </c>
      <c r="D470" s="57">
        <f ca="1">IF(AND(B469&lt;59.5,OR(B470&gt;59.5,B470=59.5)),(D469-E469+J469-K469)*(1+'Retirement Planning'!$J$23/12),(D469-E469)*(1+'Retirement Planning'!$J$23/12))</f>
        <v>1498345.4303906634</v>
      </c>
      <c r="E470" s="58">
        <f t="shared" ca="1" si="198"/>
        <v>7681.8888141868283</v>
      </c>
      <c r="F470" s="57">
        <f ca="1">IF(AND(OR(B470&gt;59.5,B470=59.5),B469&lt;59.5),(F469-G469+L469-M469+N469-O469)*(1+'Retirement Planning'!$J$23/12),(F469-G469)*(1+'Retirement Planning'!$J$23/12))</f>
        <v>10184.040309216312</v>
      </c>
      <c r="G470" s="58">
        <f ca="1">IF(AND($B$10&lt;55,B470&lt;59.5),'Retirement Planning'!$J$25,IF(OR(B470&gt;59.5,B470=59.5),MAX(0,MIN(F470,IF(D470&lt;2500,((Y470+AJ470+AA470))-X470,((Y470+AJ470+AA470)*'Retirement Planning'!$J$44)-X470))),0))</f>
        <v>10184.040309216312</v>
      </c>
      <c r="H470" s="255">
        <f ca="1">IF(MONTH(C470)=1,IF(B470&gt;69.5,F470/(INDEX('Retirement Planning'!D$1:D$264,(160+INT(B470))))/12,0),IF(F470=0,0,H469))</f>
        <v>1923.418413291929</v>
      </c>
      <c r="I470" s="262">
        <f t="shared" ca="1" si="199"/>
        <v>0</v>
      </c>
      <c r="J470" s="254">
        <f ca="1">IF(AND(B469&lt;59.5,OR(B470=59.5,B470&gt;59.5)),0,(J469-K469)*(1+'Retirement Planning'!$J$23/12))</f>
        <v>0</v>
      </c>
      <c r="K470" s="58">
        <f t="shared" ca="1" si="200"/>
        <v>0</v>
      </c>
      <c r="L470" s="57">
        <f>IF(AND(OR(B470&gt;59.5,B470=59.5),B469&lt;59.5),0,(L469-M469)*(1+'Retirement Planning'!$J$23/12))</f>
        <v>0</v>
      </c>
      <c r="M470" s="59">
        <f>IF(AND($B$10&lt;55,B470&lt;59.5),0,IF(B470&lt;59.5,MAX(0,MIN((($Y470+$AJ470+AA470)*'Retirement Planning'!$J$44)-$G470-$X470,L470)),0))</f>
        <v>0</v>
      </c>
      <c r="N470" s="57">
        <f ca="1">(N469-O469)*(1+'Retirement Planning'!$J$23/12)</f>
        <v>0</v>
      </c>
      <c r="O470" s="59">
        <f ca="1">IF(B470&gt;59.5,MAX(0,MIN((AA470+$Y470+$AJ470)*(IF(D470&lt;(MIN(E458:E469)+1),1,'Retirement Planning'!$J$44))-M470-$G470-$X470-(IF(D470&lt;(MIN(E458:E469)+1),D470,0)),N470)),0)</f>
        <v>0</v>
      </c>
      <c r="P470" s="57">
        <f t="shared" si="210"/>
        <v>0</v>
      </c>
      <c r="Q470" s="58">
        <f t="shared" si="211"/>
        <v>0</v>
      </c>
      <c r="R470" s="57">
        <f ca="1">(R469-S469-T469)*(1+'Retirement Planning'!$J$23/12)</f>
        <v>2378768.9002831862</v>
      </c>
      <c r="S470" s="58">
        <f t="shared" ca="1" si="212"/>
        <v>808.33333333333337</v>
      </c>
      <c r="T470" s="273">
        <f t="shared" ca="1" si="201"/>
        <v>-6.8212102632969618E-13</v>
      </c>
      <c r="U470" s="57">
        <f ca="1">(U469-V469)*(1+'Retirement Planning'!$J$23/12)</f>
        <v>1212439.8918673273</v>
      </c>
      <c r="V470" s="24">
        <f ca="1">IF(AND($B$10&lt;55,B470&lt;59.5),MIN(U470,MAX(0,(Y470+AA470+AJ470-G470)*'Retirement Planning'!$J$45)),IF(B470&lt;59.5,(MIN(U470,MAX(0,((Y470+AA470+AJ470)-G470-M470)*'Retirement Planning'!$J$45))),MIN(U470,MAX(0,(Y470+AA470+AJ470-G470-M470-K470-X470)*'Retirement Planning'!$J$45))))</f>
        <v>6543.8312120850751</v>
      </c>
      <c r="W470" s="7">
        <f t="shared" ca="1" si="202"/>
        <v>5099738.2628503935</v>
      </c>
      <c r="X470" s="7">
        <f>(IF(B470&gt;'Retirement Planning'!$J$34,IF('Retirement Planning'!$J$34=70,'Retirement Planning'!$J$37/12,IF('Retirement Planning'!$J$34=67,'Retirement Planning'!$J$36/12,'Retirement Planning'!$J$35/12)),0))*'Retirement Planning'!$J$38</f>
        <v>1213.6000000000001</v>
      </c>
      <c r="Y470" s="7">
        <f ca="1">'Retirement Planning'!$F$35*((1+'Retirement Planning'!$J$24)^(YEAR('Projected Retirement Drawdown'!C470)-YEAR(TODAY())))</f>
        <v>19187.947033773951</v>
      </c>
      <c r="Z470" s="7">
        <f ca="1">G470+M470+O470+0.85*X470+V470*'Retirement Planning'!$J$46+T470</f>
        <v>14814.707475863102</v>
      </c>
      <c r="AA470" s="7">
        <f ca="1">IF(MONTH(C470)=1,(((MIN(MAX(0,((SUM(Z458:Z469)-'Retirement Planning'!$I$53-'Retirement Planning'!$I$54)-'Retirement Planning'!$J$51)*'Retirement Planning'!$I$52))))+(MIN(MAX(0,((SUM(Z458:Z469)-'Retirement Planning'!$I$53-'Retirement Planning'!$I$54)-'Retirement Planning'!$J$50)*'Retirement Planning'!$I$51),('Retirement Planning'!$J$51-'Retirement Planning'!$J$50)*'Retirement Planning'!$I$51))+(MIN(MAX(0,((SUM(Z458:Z469)-'Retirement Planning'!$I$53-'Retirement Planning'!$I$54)-'Retirement Planning'!$J$49)*'Retirement Planning'!$I$50),('Retirement Planning'!$J$50-'Retirement Planning'!$J$49)*'Retirement Planning'!$I$50)+MIN(MAX(0,((SUM(Z458:Z469)-'Retirement Planning'!$I$53-'Retirement Planning'!$I$54)-'Retirement Planning'!$J$48)*'Retirement Planning'!$I$49),('Retirement Planning'!$J$49-'Retirement Planning'!$J$48)*'Retirement Planning'!$I$49)+MIN(((SUM(Z458:Z469)-'Retirement Planning'!$I$53-'Retirement Planning'!$I$54))*'Retirement Planning'!$I$48,('Retirement Planning'!$J$48)*'Retirement Planning'!$I$48))+(IF((SUM(Z458:Z469)-'Retirement Planning'!$I$54-'Retirement Planning'!$I$61)&gt;'Retirement Planning'!$J$59,(SUM(Z458:Z469)-'Retirement Planning'!$I$54-'Retirement Planning'!$I$61-'Retirement Planning'!$J$59)*'Retirement Planning'!$I$60+'Retirement Planning'!$K$59,IF((SUM(Z458:Z469)-'Retirement Planning'!$I$54-'Retirement Planning'!$I$61)&gt;'Retirement Planning'!$J$58,(SUM(Z458:Z469)-'Retirement Planning'!$I$54-'Retirement Planning'!$I$61-'Retirement Planning'!$J$58)*'Retirement Planning'!$I$59+'Retirement Planning'!$K$58,IF((SUM(Z458:Z469)-'Retirement Planning'!$I$54-'Retirement Planning'!$I$61)&gt;'Retirement Planning'!$J$57,(SUM(Z458:Z469)-'Retirement Planning'!$I$54-'Retirement Planning'!$I$61-'Retirement Planning'!$J$57)*'Retirement Planning'!$I$58+'Retirement Planning'!$K$57,IF((SUM(Z458:Z469)-'Retirement Planning'!$I$54-'Retirement Planning'!$I$61)&gt;'Retirement Planning'!$J$56,(SUM(Z458:Z469)-'Retirement Planning'!$I$54-'Retirement Planning'!$I$61-'Retirement Planning'!$J$56)*'Retirement Planning'!$I$57+'Retirement Planning'!$K$56,(SUM(Z458:Z469)-'Retirement Planning'!$I$54-'Retirement Planning'!$I$61)*'Retirement Planning'!$I$56))))))/12,AA469)</f>
        <v>6118.7466350475952</v>
      </c>
      <c r="AB470" s="104">
        <f t="shared" ca="1" si="193"/>
        <v>0.29142054903069553</v>
      </c>
      <c r="AC470" s="7">
        <f>IF(B470&lt;65,'Retirement Planning'!$J$28,0)</f>
        <v>0</v>
      </c>
      <c r="AD470" s="7">
        <f>IF(B470&lt;65,'Retirement Planning'!$J$29/12,0)</f>
        <v>0</v>
      </c>
      <c r="AE470" s="22">
        <f>'Retirement Planning'!$J$31/12</f>
        <v>58.333333333333336</v>
      </c>
      <c r="AF470" s="22">
        <f>'Retirement Planning'!$J$32/12</f>
        <v>66.666666666666671</v>
      </c>
      <c r="AG470" s="7">
        <f>IF($B470&gt;64.9,'Retirement Planning'!$J$39/12,0)</f>
        <v>183.33333333333334</v>
      </c>
      <c r="AH470" s="7">
        <f>IF($B470&gt;64.9,'Retirement Planning'!$J$40/12,0)</f>
        <v>258.33333333333331</v>
      </c>
      <c r="AI470" s="7">
        <f>IF($B470&gt;64.9,'Retirement Planning'!$J$41/12,0)</f>
        <v>558.33333333333337</v>
      </c>
      <c r="AJ470" s="7">
        <f t="shared" ca="1" si="203"/>
        <v>316.66666666666663</v>
      </c>
      <c r="AK470" s="3" t="str">
        <f t="shared" ca="1" si="190"/>
        <v>N/A</v>
      </c>
      <c r="AL470" s="6" t="str">
        <f t="shared" ca="1" si="191"/>
        <v>N/A</v>
      </c>
      <c r="AM470" s="7">
        <f t="shared" ca="1" si="204"/>
        <v>-2.9558577807620168E-12</v>
      </c>
      <c r="AN470" s="7">
        <f t="shared" ca="1" si="205"/>
        <v>26431.693668821546</v>
      </c>
      <c r="AO470" s="7">
        <f t="shared" si="206"/>
        <v>1125</v>
      </c>
    </row>
    <row r="471" spans="1:41" x14ac:dyDescent="0.2">
      <c r="A471">
        <f t="shared" si="207"/>
        <v>50</v>
      </c>
      <c r="B471" s="5">
        <f t="shared" si="208"/>
        <v>94.7</v>
      </c>
      <c r="C471" s="56">
        <f t="shared" si="209"/>
        <v>60449</v>
      </c>
      <c r="D471" s="57">
        <f ca="1">IF(AND(B470&lt;59.5,OR(B471&gt;59.5,B471=59.5)),(D470-E470+J470-K470)*(1+'Retirement Planning'!$J$23/12),(D470-E470)*(1+'Retirement Planning'!$J$23/12))</f>
        <v>1501222.4083293099</v>
      </c>
      <c r="E471" s="58">
        <f t="shared" ca="1" si="198"/>
        <v>13181.270581163635</v>
      </c>
      <c r="F471" s="57">
        <f ca="1">IF(AND(OR(B471&gt;59.5,B471=59.5),B470&lt;59.5),(F470-G470+L470-M470+N470-O470)*(1+'Retirement Planning'!$J$23/12),(F470-G470)*(1+'Retirement Planning'!$J$23/12))</f>
        <v>0</v>
      </c>
      <c r="G471" s="58">
        <f ca="1">IF(AND($B$10&lt;55,B471&lt;59.5),'Retirement Planning'!$J$25,IF(OR(B471&gt;59.5,B471=59.5),MAX(0,MIN(F471,IF(D471&lt;2500,((Y471+AJ471+AA471))-X471,((Y471+AJ471+AA471)*'Retirement Planning'!$J$44)-X471))),0))</f>
        <v>0</v>
      </c>
      <c r="H471" s="255">
        <f ca="1">IF(MONTH(C471)=1,IF(B471&gt;69.5,F471/(INDEX('Retirement Planning'!D$1:D$264,(160+INT(B471))))/12,0),IF(F471=0,0,H470))</f>
        <v>0</v>
      </c>
      <c r="I471" s="262">
        <f t="shared" ca="1" si="199"/>
        <v>0</v>
      </c>
      <c r="J471" s="254">
        <f ca="1">IF(AND(B470&lt;59.5,OR(B471=59.5,B471&gt;59.5)),0,(J470-K470)*(1+'Retirement Planning'!$J$23/12))</f>
        <v>0</v>
      </c>
      <c r="K471" s="58">
        <f t="shared" ca="1" si="200"/>
        <v>0</v>
      </c>
      <c r="L471" s="57">
        <f>IF(AND(OR(B471&gt;59.5,B471=59.5),B470&lt;59.5),0,(L470-M470)*(1+'Retirement Planning'!$J$23/12))</f>
        <v>0</v>
      </c>
      <c r="M471" s="59">
        <f>IF(AND($B$10&lt;55,B471&lt;59.5),0,IF(B471&lt;59.5,MAX(0,MIN((($Y471+$AJ471+AA471)*'Retirement Planning'!$J$44)-$G471-$X471,L471)),0))</f>
        <v>0</v>
      </c>
      <c r="N471" s="57">
        <f ca="1">(N470-O470)*(1+'Retirement Planning'!$J$23/12)</f>
        <v>0</v>
      </c>
      <c r="O471" s="59">
        <f ca="1">IF(B471&gt;59.5,MAX(0,MIN((AA471+$Y471+$AJ471)*(IF(D471&lt;(MIN(E459:E470)+1),1,'Retirement Planning'!$J$44))-M471-$G471-$X471-(IF(D471&lt;(MIN(E459:E470)+1),D471,0)),N471)),0)</f>
        <v>0</v>
      </c>
      <c r="P471" s="57">
        <f t="shared" si="210"/>
        <v>0</v>
      </c>
      <c r="Q471" s="58">
        <f t="shared" si="211"/>
        <v>0</v>
      </c>
      <c r="R471" s="57">
        <f ca="1">(R470-S470-T470)*(1+'Retirement Planning'!$J$23/12)</f>
        <v>2394804.4542990807</v>
      </c>
      <c r="S471" s="58">
        <f t="shared" ca="1" si="212"/>
        <v>808.33333333333337</v>
      </c>
      <c r="T471" s="273">
        <f t="shared" ca="1" si="201"/>
        <v>-3.4106051316484809E-12</v>
      </c>
      <c r="U471" s="57">
        <f ca="1">(U470-V470)*(1+'Retirement Planning'!$J$23/12)</f>
        <v>1214437.8244182169</v>
      </c>
      <c r="V471" s="24">
        <f ca="1">IF(AND($B$10&lt;55,B471&lt;59.5),MIN(U471,MAX(0,(Y471+AA471+AJ471-G471)*'Retirement Planning'!$J$45)),IF(B471&lt;59.5,(MIN(U471,MAX(0,((Y471+AA471+AJ471)-G471-M471)*'Retirement Planning'!$J$45))),MIN(U471,MAX(0,(Y471+AA471+AJ471-G471-M471-K471-X471)*'Retirement Planning'!$J$45))))</f>
        <v>11228.489754324581</v>
      </c>
      <c r="W471" s="7">
        <f t="shared" ca="1" si="202"/>
        <v>5110464.687046608</v>
      </c>
      <c r="X471" s="7">
        <f>(IF(B471&gt;'Retirement Planning'!$J$34,IF('Retirement Planning'!$J$34=70,'Retirement Planning'!$J$37/12,IF('Retirement Planning'!$J$34=67,'Retirement Planning'!$J$36/12,'Retirement Planning'!$J$35/12)),0))*'Retirement Planning'!$J$38</f>
        <v>1213.6000000000001</v>
      </c>
      <c r="Y471" s="7">
        <f ca="1">'Retirement Planning'!$F$35*((1+'Retirement Planning'!$J$24)^(YEAR('Projected Retirement Drawdown'!C471)-YEAR(TODAY())))</f>
        <v>19187.947033773951</v>
      </c>
      <c r="Z471" s="7">
        <f ca="1">G471+M471+O471+0.85*X471+V471*'Retirement Planning'!$J$46+T471</f>
        <v>7207.2293648785162</v>
      </c>
      <c r="AA471" s="7">
        <f ca="1">IF(MONTH(C471)=1,(((MIN(MAX(0,((SUM(Z459:Z470)-'Retirement Planning'!$I$53-'Retirement Planning'!$I$54)-'Retirement Planning'!$J$51)*'Retirement Planning'!$I$52))))+(MIN(MAX(0,((SUM(Z459:Z470)-'Retirement Planning'!$I$53-'Retirement Planning'!$I$54)-'Retirement Planning'!$J$50)*'Retirement Planning'!$I$51),('Retirement Planning'!$J$51-'Retirement Planning'!$J$50)*'Retirement Planning'!$I$51))+(MIN(MAX(0,((SUM(Z459:Z470)-'Retirement Planning'!$I$53-'Retirement Planning'!$I$54)-'Retirement Planning'!$J$49)*'Retirement Planning'!$I$50),('Retirement Planning'!$J$50-'Retirement Planning'!$J$49)*'Retirement Planning'!$I$50)+MIN(MAX(0,((SUM(Z459:Z470)-'Retirement Planning'!$I$53-'Retirement Planning'!$I$54)-'Retirement Planning'!$J$48)*'Retirement Planning'!$I$49),('Retirement Planning'!$J$49-'Retirement Planning'!$J$48)*'Retirement Planning'!$I$49)+MIN(((SUM(Z459:Z470)-'Retirement Planning'!$I$53-'Retirement Planning'!$I$54))*'Retirement Planning'!$I$48,('Retirement Planning'!$J$48)*'Retirement Planning'!$I$48))+(IF((SUM(Z459:Z470)-'Retirement Planning'!$I$54-'Retirement Planning'!$I$61)&gt;'Retirement Planning'!$J$59,(SUM(Z459:Z470)-'Retirement Planning'!$I$54-'Retirement Planning'!$I$61-'Retirement Planning'!$J$59)*'Retirement Planning'!$I$60+'Retirement Planning'!$K$59,IF((SUM(Z459:Z470)-'Retirement Planning'!$I$54-'Retirement Planning'!$I$61)&gt;'Retirement Planning'!$J$58,(SUM(Z459:Z470)-'Retirement Planning'!$I$54-'Retirement Planning'!$I$61-'Retirement Planning'!$J$58)*'Retirement Planning'!$I$59+'Retirement Planning'!$K$58,IF((SUM(Z459:Z470)-'Retirement Planning'!$I$54-'Retirement Planning'!$I$61)&gt;'Retirement Planning'!$J$57,(SUM(Z459:Z470)-'Retirement Planning'!$I$54-'Retirement Planning'!$I$61-'Retirement Planning'!$J$57)*'Retirement Planning'!$I$58+'Retirement Planning'!$K$57,IF((SUM(Z459:Z470)-'Retirement Planning'!$I$54-'Retirement Planning'!$I$61)&gt;'Retirement Planning'!$J$56,(SUM(Z459:Z470)-'Retirement Planning'!$I$54-'Retirement Planning'!$I$61-'Retirement Planning'!$J$56)*'Retirement Planning'!$I$57+'Retirement Planning'!$K$56,(SUM(Z459:Z470)-'Retirement Planning'!$I$54-'Retirement Planning'!$I$61)*'Retirement Planning'!$I$56))))))/12,AA470)</f>
        <v>6118.7466350475952</v>
      </c>
      <c r="AB471" s="104">
        <f t="shared" ca="1" si="193"/>
        <v>0.29142054903069553</v>
      </c>
      <c r="AC471" s="7">
        <f>IF(B471&lt;65,'Retirement Planning'!$J$28,0)</f>
        <v>0</v>
      </c>
      <c r="AD471" s="7">
        <f>IF(B471&lt;65,'Retirement Planning'!$J$29/12,0)</f>
        <v>0</v>
      </c>
      <c r="AE471" s="22">
        <f>'Retirement Planning'!$J$31/12</f>
        <v>58.333333333333336</v>
      </c>
      <c r="AF471" s="22">
        <f>'Retirement Planning'!$J$32/12</f>
        <v>66.666666666666671</v>
      </c>
      <c r="AG471" s="7">
        <f>IF($B471&gt;64.9,'Retirement Planning'!$J$39/12,0)</f>
        <v>183.33333333333334</v>
      </c>
      <c r="AH471" s="7">
        <f>IF($B471&gt;64.9,'Retirement Planning'!$J$40/12,0)</f>
        <v>258.33333333333331</v>
      </c>
      <c r="AI471" s="7">
        <f>IF($B471&gt;64.9,'Retirement Planning'!$J$41/12,0)</f>
        <v>558.33333333333337</v>
      </c>
      <c r="AJ471" s="7">
        <f t="shared" ca="1" si="203"/>
        <v>316.66666666666663</v>
      </c>
      <c r="AK471" s="3" t="str">
        <f t="shared" ca="1" si="190"/>
        <v>N/A</v>
      </c>
      <c r="AL471" s="6" t="str">
        <f t="shared" ca="1" si="191"/>
        <v>N/A</v>
      </c>
      <c r="AM471" s="7">
        <f t="shared" ca="1" si="204"/>
        <v>-2.2737367544323206E-13</v>
      </c>
      <c r="AN471" s="7">
        <f t="shared" ca="1" si="205"/>
        <v>26431.693668821546</v>
      </c>
      <c r="AO471" s="7">
        <f t="shared" si="206"/>
        <v>1125</v>
      </c>
    </row>
    <row r="472" spans="1:41" x14ac:dyDescent="0.2">
      <c r="A472">
        <f t="shared" si="207"/>
        <v>50</v>
      </c>
      <c r="B472" s="5">
        <f t="shared" si="208"/>
        <v>94.8</v>
      </c>
      <c r="C472" s="56">
        <f t="shared" si="209"/>
        <v>60480</v>
      </c>
      <c r="D472" s="57">
        <f ca="1">IF(AND(B471&lt;59.5,OR(B472&gt;59.5,B472=59.5)),(D471-E471+J471-K471)*(1+'Retirement Planning'!$J$23/12),(D471-E471)*(1+'Retirement Planning'!$J$23/12))</f>
        <v>1498581.4291405289</v>
      </c>
      <c r="E472" s="58">
        <f t="shared" ca="1" si="198"/>
        <v>13181.270581163635</v>
      </c>
      <c r="F472" s="57">
        <f ca="1">IF(AND(OR(B472&gt;59.5,B472=59.5),B471&lt;59.5),(F471-G471+L471-M471+N471-O471)*(1+'Retirement Planning'!$J$23/12),(F471-G471)*(1+'Retirement Planning'!$J$23/12))</f>
        <v>0</v>
      </c>
      <c r="G472" s="58">
        <f ca="1">IF(AND($B$10&lt;55,B472&lt;59.5),'Retirement Planning'!$J$25,IF(OR(B472&gt;59.5,B472=59.5),MAX(0,MIN(F472,IF(D472&lt;2500,((Y472+AJ472+AA472))-X472,((Y472+AJ472+AA472)*'Retirement Planning'!$J$44)-X472))),0))</f>
        <v>0</v>
      </c>
      <c r="H472" s="255">
        <f ca="1">IF(MONTH(C472)=1,IF(B472&gt;69.5,F472/(INDEX('Retirement Planning'!D$1:D$264,(160+INT(B472))))/12,0),IF(F472=0,0,H471))</f>
        <v>0</v>
      </c>
      <c r="I472" s="262">
        <f t="shared" ca="1" si="199"/>
        <v>0</v>
      </c>
      <c r="J472" s="254">
        <f ca="1">IF(AND(B471&lt;59.5,OR(B472=59.5,B472&gt;59.5)),0,(J471-K471)*(1+'Retirement Planning'!$J$23/12))</f>
        <v>0</v>
      </c>
      <c r="K472" s="58">
        <f t="shared" ca="1" si="200"/>
        <v>0</v>
      </c>
      <c r="L472" s="57">
        <f>IF(AND(OR(B472&gt;59.5,B472=59.5),B471&lt;59.5),0,(L471-M471)*(1+'Retirement Planning'!$J$23/12))</f>
        <v>0</v>
      </c>
      <c r="M472" s="59">
        <f>IF(AND($B$10&lt;55,B472&lt;59.5),0,IF(B472&lt;59.5,MAX(0,MIN((($Y472+$AJ472+AA472)*'Retirement Planning'!$J$44)-$G472-$X472,L472)),0))</f>
        <v>0</v>
      </c>
      <c r="N472" s="57">
        <f ca="1">(N471-O471)*(1+'Retirement Planning'!$J$23/12)</f>
        <v>0</v>
      </c>
      <c r="O472" s="59">
        <f ca="1">IF(B472&gt;59.5,MAX(0,MIN((AA472+$Y472+$AJ472)*(IF(D472&lt;(MIN(E460:E471)+1),1,'Retirement Planning'!$J$44))-M472-$G472-$X472-(IF(D472&lt;(MIN(E460:E471)+1),D472,0)),N472)),0)</f>
        <v>0</v>
      </c>
      <c r="P472" s="57">
        <f t="shared" si="210"/>
        <v>0</v>
      </c>
      <c r="Q472" s="58">
        <f t="shared" si="211"/>
        <v>0</v>
      </c>
      <c r="R472" s="57">
        <f ca="1">(R471-S471-T471)*(1+'Retirement Planning'!$J$23/12)</f>
        <v>2410953.5934892544</v>
      </c>
      <c r="S472" s="58">
        <f t="shared" ca="1" si="212"/>
        <v>808.33333333333337</v>
      </c>
      <c r="T472" s="273">
        <f t="shared" ca="1" si="201"/>
        <v>-3.4106051316484809E-12</v>
      </c>
      <c r="U472" s="57">
        <f ca="1">(U471-V471)*(1+'Retirement Planning'!$J$23/12)</f>
        <v>1211732.067451095</v>
      </c>
      <c r="V472" s="24">
        <f ca="1">IF(AND($B$10&lt;55,B472&lt;59.5),MIN(U472,MAX(0,(Y472+AA472+AJ472-G472)*'Retirement Planning'!$J$45)),IF(B472&lt;59.5,(MIN(U472,MAX(0,((Y472+AA472+AJ472)-G472-M472)*'Retirement Planning'!$J$45))),MIN(U472,MAX(0,(Y472+AA472+AJ472-G472-M472-K472-X472)*'Retirement Planning'!$J$45))))</f>
        <v>11228.489754324581</v>
      </c>
      <c r="W472" s="7">
        <f t="shared" ca="1" si="202"/>
        <v>5121267.0900808787</v>
      </c>
      <c r="X472" s="7">
        <f>(IF(B472&gt;'Retirement Planning'!$J$34,IF('Retirement Planning'!$J$34=70,'Retirement Planning'!$J$37/12,IF('Retirement Planning'!$J$34=67,'Retirement Planning'!$J$36/12,'Retirement Planning'!$J$35/12)),0))*'Retirement Planning'!$J$38</f>
        <v>1213.6000000000001</v>
      </c>
      <c r="Y472" s="7">
        <f ca="1">'Retirement Planning'!$F$35*((1+'Retirement Planning'!$J$24)^(YEAR('Projected Retirement Drawdown'!C472)-YEAR(TODAY())))</f>
        <v>19187.947033773951</v>
      </c>
      <c r="Z472" s="7">
        <f ca="1">G472+M472+O472+0.85*X472+V472*'Retirement Planning'!$J$46+T472</f>
        <v>7207.2293648785162</v>
      </c>
      <c r="AA472" s="7">
        <f ca="1">IF(MONTH(C472)=1,(((MIN(MAX(0,((SUM(Z460:Z471)-'Retirement Planning'!$I$53-'Retirement Planning'!$I$54)-'Retirement Planning'!$J$51)*'Retirement Planning'!$I$52))))+(MIN(MAX(0,((SUM(Z460:Z471)-'Retirement Planning'!$I$53-'Retirement Planning'!$I$54)-'Retirement Planning'!$J$50)*'Retirement Planning'!$I$51),('Retirement Planning'!$J$51-'Retirement Planning'!$J$50)*'Retirement Planning'!$I$51))+(MIN(MAX(0,((SUM(Z460:Z471)-'Retirement Planning'!$I$53-'Retirement Planning'!$I$54)-'Retirement Planning'!$J$49)*'Retirement Planning'!$I$50),('Retirement Planning'!$J$50-'Retirement Planning'!$J$49)*'Retirement Planning'!$I$50)+MIN(MAX(0,((SUM(Z460:Z471)-'Retirement Planning'!$I$53-'Retirement Planning'!$I$54)-'Retirement Planning'!$J$48)*'Retirement Planning'!$I$49),('Retirement Planning'!$J$49-'Retirement Planning'!$J$48)*'Retirement Planning'!$I$49)+MIN(((SUM(Z460:Z471)-'Retirement Planning'!$I$53-'Retirement Planning'!$I$54))*'Retirement Planning'!$I$48,('Retirement Planning'!$J$48)*'Retirement Planning'!$I$48))+(IF((SUM(Z460:Z471)-'Retirement Planning'!$I$54-'Retirement Planning'!$I$61)&gt;'Retirement Planning'!$J$59,(SUM(Z460:Z471)-'Retirement Planning'!$I$54-'Retirement Planning'!$I$61-'Retirement Planning'!$J$59)*'Retirement Planning'!$I$60+'Retirement Planning'!$K$59,IF((SUM(Z460:Z471)-'Retirement Planning'!$I$54-'Retirement Planning'!$I$61)&gt;'Retirement Planning'!$J$58,(SUM(Z460:Z471)-'Retirement Planning'!$I$54-'Retirement Planning'!$I$61-'Retirement Planning'!$J$58)*'Retirement Planning'!$I$59+'Retirement Planning'!$K$58,IF((SUM(Z460:Z471)-'Retirement Planning'!$I$54-'Retirement Planning'!$I$61)&gt;'Retirement Planning'!$J$57,(SUM(Z460:Z471)-'Retirement Planning'!$I$54-'Retirement Planning'!$I$61-'Retirement Planning'!$J$57)*'Retirement Planning'!$I$58+'Retirement Planning'!$K$57,IF((SUM(Z460:Z471)-'Retirement Planning'!$I$54-'Retirement Planning'!$I$61)&gt;'Retirement Planning'!$J$56,(SUM(Z460:Z471)-'Retirement Planning'!$I$54-'Retirement Planning'!$I$61-'Retirement Planning'!$J$56)*'Retirement Planning'!$I$57+'Retirement Planning'!$K$56,(SUM(Z460:Z471)-'Retirement Planning'!$I$54-'Retirement Planning'!$I$61)*'Retirement Planning'!$I$56))))))/12,AA471)</f>
        <v>6118.7466350475952</v>
      </c>
      <c r="AB472" s="104">
        <f t="shared" ca="1" si="193"/>
        <v>0.29142054903069553</v>
      </c>
      <c r="AC472" s="7">
        <f>IF(B472&lt;65,'Retirement Planning'!$J$28,0)</f>
        <v>0</v>
      </c>
      <c r="AD472" s="7">
        <f>IF(B472&lt;65,'Retirement Planning'!$J$29/12,0)</f>
        <v>0</v>
      </c>
      <c r="AE472" s="22">
        <f>'Retirement Planning'!$J$31/12</f>
        <v>58.333333333333336</v>
      </c>
      <c r="AF472" s="22">
        <f>'Retirement Planning'!$J$32/12</f>
        <v>66.666666666666671</v>
      </c>
      <c r="AG472" s="7">
        <f>IF($B472&gt;64.9,'Retirement Planning'!$J$39/12,0)</f>
        <v>183.33333333333334</v>
      </c>
      <c r="AH472" s="7">
        <f>IF($B472&gt;64.9,'Retirement Planning'!$J$40/12,0)</f>
        <v>258.33333333333331</v>
      </c>
      <c r="AI472" s="7">
        <f>IF($B472&gt;64.9,'Retirement Planning'!$J$41/12,0)</f>
        <v>558.33333333333337</v>
      </c>
      <c r="AJ472" s="7">
        <f t="shared" ca="1" si="203"/>
        <v>316.66666666666663</v>
      </c>
      <c r="AK472" s="3" t="str">
        <f t="shared" ca="1" si="190"/>
        <v>N/A</v>
      </c>
      <c r="AL472" s="6" t="str">
        <f t="shared" ca="1" si="191"/>
        <v>N/A</v>
      </c>
      <c r="AM472" s="7">
        <f t="shared" ca="1" si="204"/>
        <v>-2.2737367544323206E-13</v>
      </c>
      <c r="AN472" s="7">
        <f t="shared" ca="1" si="205"/>
        <v>26431.693668821546</v>
      </c>
      <c r="AO472" s="7">
        <f t="shared" si="206"/>
        <v>1125</v>
      </c>
    </row>
    <row r="473" spans="1:41" x14ac:dyDescent="0.2">
      <c r="A473">
        <f t="shared" si="207"/>
        <v>50</v>
      </c>
      <c r="B473" s="5">
        <f t="shared" si="208"/>
        <v>94.9</v>
      </c>
      <c r="C473" s="56">
        <f t="shared" si="209"/>
        <v>60511</v>
      </c>
      <c r="D473" s="57">
        <f ca="1">IF(AND(B472&lt;59.5,OR(B473&gt;59.5,B473=59.5)),(D472-E472+J472-K472)*(1+'Retirement Planning'!$J$23/12),(D472-E472)*(1+'Retirement Planning'!$J$23/12))</f>
        <v>1495921.7430158274</v>
      </c>
      <c r="E473" s="58">
        <f t="shared" ca="1" si="198"/>
        <v>13181.270581163635</v>
      </c>
      <c r="F473" s="57">
        <f ca="1">IF(AND(OR(B473&gt;59.5,B473=59.5),B472&lt;59.5),(F472-G472+L472-M472+N472-O472)*(1+'Retirement Planning'!$J$23/12),(F472-G472)*(1+'Retirement Planning'!$J$23/12))</f>
        <v>0</v>
      </c>
      <c r="G473" s="58">
        <f ca="1">IF(AND($B$10&lt;55,B473&lt;59.5),'Retirement Planning'!$J$25,IF(OR(B473&gt;59.5,B473=59.5),MAX(0,MIN(F473,IF(D473&lt;2500,((Y473+AJ473+AA473))-X473,((Y473+AJ473+AA473)*'Retirement Planning'!$J$44)-X473))),0))</f>
        <v>0</v>
      </c>
      <c r="H473" s="255">
        <f ca="1">IF(MONTH(C473)=1,IF(B473&gt;69.5,F473/(INDEX('Retirement Planning'!D$1:D$264,(160+INT(B473))))/12,0),IF(F473=0,0,H472))</f>
        <v>0</v>
      </c>
      <c r="I473" s="262">
        <f t="shared" ca="1" si="199"/>
        <v>0</v>
      </c>
      <c r="J473" s="254">
        <f ca="1">IF(AND(B472&lt;59.5,OR(B473=59.5,B473&gt;59.5)),0,(J472-K472)*(1+'Retirement Planning'!$J$23/12))</f>
        <v>0</v>
      </c>
      <c r="K473" s="58">
        <f t="shared" ca="1" si="200"/>
        <v>0</v>
      </c>
      <c r="L473" s="57">
        <f>IF(AND(OR(B473&gt;59.5,B473=59.5),B472&lt;59.5),0,(L472-M472)*(1+'Retirement Planning'!$J$23/12))</f>
        <v>0</v>
      </c>
      <c r="M473" s="59">
        <f>IF(AND($B$10&lt;55,B473&lt;59.5),0,IF(B473&lt;59.5,MAX(0,MIN((($Y473+$AJ473+AA473)*'Retirement Planning'!$J$44)-$G473-$X473,L473)),0))</f>
        <v>0</v>
      </c>
      <c r="N473" s="57">
        <f ca="1">(N472-O472)*(1+'Retirement Planning'!$J$23/12)</f>
        <v>0</v>
      </c>
      <c r="O473" s="59">
        <f ca="1">IF(B473&gt;59.5,MAX(0,MIN((AA473+$Y473+$AJ473)*(IF(D473&lt;(MIN(E461:E472)+1),1,'Retirement Planning'!$J$44))-M473-$G473-$X473-(IF(D473&lt;(MIN(E461:E472)+1),D473,0)),N473)),0)</f>
        <v>0</v>
      </c>
      <c r="P473" s="57">
        <f t="shared" si="210"/>
        <v>0</v>
      </c>
      <c r="Q473" s="58">
        <f t="shared" si="211"/>
        <v>0</v>
      </c>
      <c r="R473" s="57">
        <f ca="1">(R472-S472-T472)*(1+'Retirement Planning'!$J$23/12)</f>
        <v>2427217.1224153587</v>
      </c>
      <c r="S473" s="58">
        <f t="shared" ca="1" si="212"/>
        <v>808.33333333333337</v>
      </c>
      <c r="T473" s="273">
        <f t="shared" ca="1" si="201"/>
        <v>-3.4106051316484809E-12</v>
      </c>
      <c r="U473" s="57">
        <f ca="1">(U472-V472)*(1+'Retirement Planning'!$J$23/12)</f>
        <v>1209007.144705456</v>
      </c>
      <c r="V473" s="24">
        <f ca="1">IF(AND($B$10&lt;55,B473&lt;59.5),MIN(U473,MAX(0,(Y473+AA473+AJ473-G473)*'Retirement Planning'!$J$45)),IF(B473&lt;59.5,(MIN(U473,MAX(0,((Y473+AA473+AJ473)-G473-M473)*'Retirement Planning'!$J$45))),MIN(U473,MAX(0,(Y473+AA473+AJ473-G473-M473-K473-X473)*'Retirement Planning'!$J$45))))</f>
        <v>11228.489754324581</v>
      </c>
      <c r="W473" s="7">
        <f t="shared" ca="1" si="202"/>
        <v>5132146.0101366416</v>
      </c>
      <c r="X473" s="7">
        <f>(IF(B473&gt;'Retirement Planning'!$J$34,IF('Retirement Planning'!$J$34=70,'Retirement Planning'!$J$37/12,IF('Retirement Planning'!$J$34=67,'Retirement Planning'!$J$36/12,'Retirement Planning'!$J$35/12)),0))*'Retirement Planning'!$J$38</f>
        <v>1213.6000000000001</v>
      </c>
      <c r="Y473" s="7">
        <f ca="1">'Retirement Planning'!$F$35*((1+'Retirement Planning'!$J$24)^(YEAR('Projected Retirement Drawdown'!C473)-YEAR(TODAY())))</f>
        <v>19187.947033773951</v>
      </c>
      <c r="Z473" s="7">
        <f ca="1">G473+M473+O473+0.85*X473+V473*'Retirement Planning'!$J$46+T473</f>
        <v>7207.2293648785162</v>
      </c>
      <c r="AA473" s="7">
        <f ca="1">IF(MONTH(C473)=1,(((MIN(MAX(0,((SUM(Z461:Z472)-'Retirement Planning'!$I$53-'Retirement Planning'!$I$54)-'Retirement Planning'!$J$51)*'Retirement Planning'!$I$52))))+(MIN(MAX(0,((SUM(Z461:Z472)-'Retirement Planning'!$I$53-'Retirement Planning'!$I$54)-'Retirement Planning'!$J$50)*'Retirement Planning'!$I$51),('Retirement Planning'!$J$51-'Retirement Planning'!$J$50)*'Retirement Planning'!$I$51))+(MIN(MAX(0,((SUM(Z461:Z472)-'Retirement Planning'!$I$53-'Retirement Planning'!$I$54)-'Retirement Planning'!$J$49)*'Retirement Planning'!$I$50),('Retirement Planning'!$J$50-'Retirement Planning'!$J$49)*'Retirement Planning'!$I$50)+MIN(MAX(0,((SUM(Z461:Z472)-'Retirement Planning'!$I$53-'Retirement Planning'!$I$54)-'Retirement Planning'!$J$48)*'Retirement Planning'!$I$49),('Retirement Planning'!$J$49-'Retirement Planning'!$J$48)*'Retirement Planning'!$I$49)+MIN(((SUM(Z461:Z472)-'Retirement Planning'!$I$53-'Retirement Planning'!$I$54))*'Retirement Planning'!$I$48,('Retirement Planning'!$J$48)*'Retirement Planning'!$I$48))+(IF((SUM(Z461:Z472)-'Retirement Planning'!$I$54-'Retirement Planning'!$I$61)&gt;'Retirement Planning'!$J$59,(SUM(Z461:Z472)-'Retirement Planning'!$I$54-'Retirement Planning'!$I$61-'Retirement Planning'!$J$59)*'Retirement Planning'!$I$60+'Retirement Planning'!$K$59,IF((SUM(Z461:Z472)-'Retirement Planning'!$I$54-'Retirement Planning'!$I$61)&gt;'Retirement Planning'!$J$58,(SUM(Z461:Z472)-'Retirement Planning'!$I$54-'Retirement Planning'!$I$61-'Retirement Planning'!$J$58)*'Retirement Planning'!$I$59+'Retirement Planning'!$K$58,IF((SUM(Z461:Z472)-'Retirement Planning'!$I$54-'Retirement Planning'!$I$61)&gt;'Retirement Planning'!$J$57,(SUM(Z461:Z472)-'Retirement Planning'!$I$54-'Retirement Planning'!$I$61-'Retirement Planning'!$J$57)*'Retirement Planning'!$I$58+'Retirement Planning'!$K$57,IF((SUM(Z461:Z472)-'Retirement Planning'!$I$54-'Retirement Planning'!$I$61)&gt;'Retirement Planning'!$J$56,(SUM(Z461:Z472)-'Retirement Planning'!$I$54-'Retirement Planning'!$I$61-'Retirement Planning'!$J$56)*'Retirement Planning'!$I$57+'Retirement Planning'!$K$56,(SUM(Z461:Z472)-'Retirement Planning'!$I$54-'Retirement Planning'!$I$61)*'Retirement Planning'!$I$56))))))/12,AA472)</f>
        <v>6118.7466350475952</v>
      </c>
      <c r="AB473" s="104">
        <f t="shared" ca="1" si="193"/>
        <v>0.29142054903069553</v>
      </c>
      <c r="AC473" s="7">
        <f>IF(B473&lt;65,'Retirement Planning'!$J$28,0)</f>
        <v>0</v>
      </c>
      <c r="AD473" s="7">
        <f>IF(B473&lt;65,'Retirement Planning'!$J$29/12,0)</f>
        <v>0</v>
      </c>
      <c r="AE473" s="22">
        <f>'Retirement Planning'!$J$31/12</f>
        <v>58.333333333333336</v>
      </c>
      <c r="AF473" s="22">
        <f>'Retirement Planning'!$J$32/12</f>
        <v>66.666666666666671</v>
      </c>
      <c r="AG473" s="7">
        <f>IF($B473&gt;64.9,'Retirement Planning'!$J$39/12,0)</f>
        <v>183.33333333333334</v>
      </c>
      <c r="AH473" s="7">
        <f>IF($B473&gt;64.9,'Retirement Planning'!$J$40/12,0)</f>
        <v>258.33333333333331</v>
      </c>
      <c r="AI473" s="7">
        <f>IF($B473&gt;64.9,'Retirement Planning'!$J$41/12,0)</f>
        <v>558.33333333333337</v>
      </c>
      <c r="AJ473" s="7">
        <f t="shared" ca="1" si="203"/>
        <v>316.66666666666663</v>
      </c>
      <c r="AK473" s="3" t="str">
        <f t="shared" ca="1" si="190"/>
        <v>N/A</v>
      </c>
      <c r="AL473" s="6" t="str">
        <f t="shared" ca="1" si="191"/>
        <v>N/A</v>
      </c>
      <c r="AM473" s="7">
        <f t="shared" ca="1" si="204"/>
        <v>-2.2737367544323206E-13</v>
      </c>
      <c r="AN473" s="7">
        <f t="shared" ca="1" si="205"/>
        <v>26431.693668821546</v>
      </c>
      <c r="AO473" s="7">
        <f t="shared" si="206"/>
        <v>1125</v>
      </c>
    </row>
    <row r="474" spans="1:41" x14ac:dyDescent="0.2">
      <c r="A474">
        <f t="shared" si="207"/>
        <v>50</v>
      </c>
      <c r="B474" s="5">
        <f t="shared" si="208"/>
        <v>95</v>
      </c>
      <c r="C474" s="56">
        <f t="shared" si="209"/>
        <v>60541</v>
      </c>
      <c r="D474" s="57">
        <f ca="1">IF(AND(B473&lt;59.5,OR(B474&gt;59.5,B474=59.5)),(D473-E473+J473-K473)*(1+'Retirement Planning'!$J$23/12),(D473-E473)*(1+'Retirement Planning'!$J$23/12))</f>
        <v>1493243.2174477426</v>
      </c>
      <c r="E474" s="58">
        <f t="shared" ca="1" si="198"/>
        <v>13181.270581163635</v>
      </c>
      <c r="F474" s="57">
        <f ca="1">IF(AND(OR(B474&gt;59.5,B474=59.5),B473&lt;59.5),(F473-G473+L473-M473+N473-O473)*(1+'Retirement Planning'!$J$23/12),(F473-G473)*(1+'Retirement Planning'!$J$23/12))</f>
        <v>0</v>
      </c>
      <c r="G474" s="58">
        <f ca="1">IF(AND($B$10&lt;55,B474&lt;59.5),'Retirement Planning'!$J$25,IF(OR(B474&gt;59.5,B474=59.5),MAX(0,MIN(F474,IF(D474&lt;2500,((Y474+AJ474+AA474))-X474,((Y474+AJ474+AA474)*'Retirement Planning'!$J$44)-X474))),0))</f>
        <v>0</v>
      </c>
      <c r="H474" s="255">
        <f ca="1">IF(MONTH(C474)=1,IF(B474&gt;69.5,F474/(INDEX('Retirement Planning'!D$1:D$264,(160+INT(B474))))/12,0),IF(F474=0,0,H473))</f>
        <v>0</v>
      </c>
      <c r="I474" s="262">
        <f t="shared" ca="1" si="199"/>
        <v>0</v>
      </c>
      <c r="J474" s="254">
        <f ca="1">IF(AND(B473&lt;59.5,OR(B474=59.5,B474&gt;59.5)),0,(J473-K473)*(1+'Retirement Planning'!$J$23/12))</f>
        <v>0</v>
      </c>
      <c r="K474" s="58">
        <f t="shared" ca="1" si="200"/>
        <v>0</v>
      </c>
      <c r="L474" s="57">
        <f>IF(AND(OR(B474&gt;59.5,B474=59.5),B473&lt;59.5),0,(L473-M473)*(1+'Retirement Planning'!$J$23/12))</f>
        <v>0</v>
      </c>
      <c r="M474" s="59">
        <f>IF(AND($B$10&lt;55,B474&lt;59.5),0,IF(B474&lt;59.5,MAX(0,MIN((($Y474+$AJ474+AA474)*'Retirement Planning'!$J$44)-$G474-$X474,L474)),0))</f>
        <v>0</v>
      </c>
      <c r="N474" s="57">
        <f ca="1">(N473-O473)*(1+'Retirement Planning'!$J$23/12)</f>
        <v>0</v>
      </c>
      <c r="O474" s="59">
        <f ca="1">IF(B474&gt;59.5,MAX(0,MIN((AA474+$Y474+$AJ474)*(IF(D474&lt;(MIN(E462:E473)+1),1,'Retirement Planning'!$J$44))-M474-$G474-$X474-(IF(D474&lt;(MIN(E462:E473)+1),D474,0)),N474)),0)</f>
        <v>0</v>
      </c>
      <c r="P474" s="57">
        <f t="shared" si="210"/>
        <v>0</v>
      </c>
      <c r="Q474" s="58">
        <f t="shared" si="211"/>
        <v>0</v>
      </c>
      <c r="R474" s="57">
        <f ca="1">(R473-S473-T473)*(1+'Retirement Planning'!$J$23/12)</f>
        <v>2443595.8513380229</v>
      </c>
      <c r="S474" s="58">
        <f t="shared" ca="1" si="212"/>
        <v>808.33333333333337</v>
      </c>
      <c r="T474" s="273">
        <f t="shared" ca="1" si="201"/>
        <v>-3.4106051316484809E-12</v>
      </c>
      <c r="U474" s="57">
        <f ca="1">(U473-V473)*(1+'Retirement Planning'!$J$23/12)</f>
        <v>1206262.9204237019</v>
      </c>
      <c r="V474" s="24">
        <f ca="1">IF(AND($B$10&lt;55,B474&lt;59.5),MIN(U474,MAX(0,(Y474+AA474+AJ474-G474)*'Retirement Planning'!$J$45)),IF(B474&lt;59.5,(MIN(U474,MAX(0,((Y474+AA474+AJ474)-G474-M474)*'Retirement Planning'!$J$45))),MIN(U474,MAX(0,(Y474+AA474+AJ474-G474-M474-K474-X474)*'Retirement Planning'!$J$45))))</f>
        <v>11228.489754324581</v>
      </c>
      <c r="W474" s="7">
        <f t="shared" ca="1" si="202"/>
        <v>5143101.9892094675</v>
      </c>
      <c r="X474" s="7">
        <f>(IF(B474&gt;'Retirement Planning'!$J$34,IF('Retirement Planning'!$J$34=70,'Retirement Planning'!$J$37/12,IF('Retirement Planning'!$J$34=67,'Retirement Planning'!$J$36/12,'Retirement Planning'!$J$35/12)),0))*'Retirement Planning'!$J$38</f>
        <v>1213.6000000000001</v>
      </c>
      <c r="Y474" s="7">
        <f ca="1">'Retirement Planning'!$F$35*((1+'Retirement Planning'!$J$24)^(YEAR('Projected Retirement Drawdown'!C474)-YEAR(TODAY())))</f>
        <v>19187.947033773951</v>
      </c>
      <c r="Z474" s="7">
        <f ca="1">G474+M474+O474+0.85*X474+V474*'Retirement Planning'!$J$46+T474</f>
        <v>7207.2293648785162</v>
      </c>
      <c r="AA474" s="7">
        <f ca="1">IF(MONTH(C474)=1,(((MIN(MAX(0,((SUM(Z462:Z473)-'Retirement Planning'!$I$53-'Retirement Planning'!$I$54)-'Retirement Planning'!$J$51)*'Retirement Planning'!$I$52))))+(MIN(MAX(0,((SUM(Z462:Z473)-'Retirement Planning'!$I$53-'Retirement Planning'!$I$54)-'Retirement Planning'!$J$50)*'Retirement Planning'!$I$51),('Retirement Planning'!$J$51-'Retirement Planning'!$J$50)*'Retirement Planning'!$I$51))+(MIN(MAX(0,((SUM(Z462:Z473)-'Retirement Planning'!$I$53-'Retirement Planning'!$I$54)-'Retirement Planning'!$J$49)*'Retirement Planning'!$I$50),('Retirement Planning'!$J$50-'Retirement Planning'!$J$49)*'Retirement Planning'!$I$50)+MIN(MAX(0,((SUM(Z462:Z473)-'Retirement Planning'!$I$53-'Retirement Planning'!$I$54)-'Retirement Planning'!$J$48)*'Retirement Planning'!$I$49),('Retirement Planning'!$J$49-'Retirement Planning'!$J$48)*'Retirement Planning'!$I$49)+MIN(((SUM(Z462:Z473)-'Retirement Planning'!$I$53-'Retirement Planning'!$I$54))*'Retirement Planning'!$I$48,('Retirement Planning'!$J$48)*'Retirement Planning'!$I$48))+(IF((SUM(Z462:Z473)-'Retirement Planning'!$I$54-'Retirement Planning'!$I$61)&gt;'Retirement Planning'!$J$59,(SUM(Z462:Z473)-'Retirement Planning'!$I$54-'Retirement Planning'!$I$61-'Retirement Planning'!$J$59)*'Retirement Planning'!$I$60+'Retirement Planning'!$K$59,IF((SUM(Z462:Z473)-'Retirement Planning'!$I$54-'Retirement Planning'!$I$61)&gt;'Retirement Planning'!$J$58,(SUM(Z462:Z473)-'Retirement Planning'!$I$54-'Retirement Planning'!$I$61-'Retirement Planning'!$J$58)*'Retirement Planning'!$I$59+'Retirement Planning'!$K$58,IF((SUM(Z462:Z473)-'Retirement Planning'!$I$54-'Retirement Planning'!$I$61)&gt;'Retirement Planning'!$J$57,(SUM(Z462:Z473)-'Retirement Planning'!$I$54-'Retirement Planning'!$I$61-'Retirement Planning'!$J$57)*'Retirement Planning'!$I$58+'Retirement Planning'!$K$57,IF((SUM(Z462:Z473)-'Retirement Planning'!$I$54-'Retirement Planning'!$I$61)&gt;'Retirement Planning'!$J$56,(SUM(Z462:Z473)-'Retirement Planning'!$I$54-'Retirement Planning'!$I$61-'Retirement Planning'!$J$56)*'Retirement Planning'!$I$57+'Retirement Planning'!$K$56,(SUM(Z462:Z473)-'Retirement Planning'!$I$54-'Retirement Planning'!$I$61)*'Retirement Planning'!$I$56))))))/12,AA473)</f>
        <v>6118.7466350475952</v>
      </c>
      <c r="AB474" s="104">
        <f t="shared" ca="1" si="193"/>
        <v>0.29142054903069553</v>
      </c>
      <c r="AC474" s="7">
        <f>IF(B474&lt;65,'Retirement Planning'!$J$28,0)</f>
        <v>0</v>
      </c>
      <c r="AD474" s="7">
        <f>IF(B474&lt;65,'Retirement Planning'!$J$29/12,0)</f>
        <v>0</v>
      </c>
      <c r="AE474" s="22">
        <f>'Retirement Planning'!$J$31/12</f>
        <v>58.333333333333336</v>
      </c>
      <c r="AF474" s="22">
        <f>'Retirement Planning'!$J$32/12</f>
        <v>66.666666666666671</v>
      </c>
      <c r="AG474" s="7">
        <f>IF($B474&gt;64.9,'Retirement Planning'!$J$39/12,0)</f>
        <v>183.33333333333334</v>
      </c>
      <c r="AH474" s="7">
        <f>IF($B474&gt;64.9,'Retirement Planning'!$J$40/12,0)</f>
        <v>258.33333333333331</v>
      </c>
      <c r="AI474" s="7">
        <f>IF($B474&gt;64.9,'Retirement Planning'!$J$41/12,0)</f>
        <v>558.33333333333337</v>
      </c>
      <c r="AJ474" s="7">
        <f t="shared" ca="1" si="203"/>
        <v>316.66666666666663</v>
      </c>
      <c r="AK474" s="3" t="str">
        <f t="shared" ca="1" si="190"/>
        <v>N/A</v>
      </c>
      <c r="AL474" s="6" t="str">
        <f t="shared" ca="1" si="191"/>
        <v>N/A</v>
      </c>
      <c r="AM474" s="7">
        <f t="shared" ca="1" si="204"/>
        <v>-2.2737367544323206E-13</v>
      </c>
      <c r="AN474" s="7">
        <f t="shared" ca="1" si="205"/>
        <v>26431.693668821546</v>
      </c>
      <c r="AO474" s="7">
        <f t="shared" si="206"/>
        <v>1125</v>
      </c>
    </row>
    <row r="475" spans="1:41" x14ac:dyDescent="0.2">
      <c r="A475">
        <f t="shared" si="207"/>
        <v>50</v>
      </c>
      <c r="B475" s="5">
        <f t="shared" si="208"/>
        <v>95</v>
      </c>
      <c r="C475" s="56">
        <f t="shared" si="209"/>
        <v>60572</v>
      </c>
      <c r="D475" s="57">
        <f ca="1">IF(AND(B474&lt;59.5,OR(B475&gt;59.5,B475=59.5)),(D474-E474+J474-K474)*(1+'Retirement Planning'!$J$23/12),(D474-E474)*(1+'Retirement Planning'!$J$23/12))</f>
        <v>1490545.7189902172</v>
      </c>
      <c r="E475" s="58">
        <f t="shared" ca="1" si="198"/>
        <v>13181.270581163635</v>
      </c>
      <c r="F475" s="57">
        <f ca="1">IF(AND(OR(B475&gt;59.5,B475=59.5),B474&lt;59.5),(F474-G474+L474-M474+N474-O474)*(1+'Retirement Planning'!$J$23/12),(F474-G474)*(1+'Retirement Planning'!$J$23/12))</f>
        <v>0</v>
      </c>
      <c r="G475" s="58">
        <f ca="1">IF(AND($B$10&lt;55,B475&lt;59.5),'Retirement Planning'!$J$25,IF(OR(B475&gt;59.5,B475=59.5),MAX(0,MIN(F475,IF(D475&lt;2500,((Y475+AJ475+AA475))-X475,((Y475+AJ475+AA475)*'Retirement Planning'!$J$44)-X475))),0))</f>
        <v>0</v>
      </c>
      <c r="H475" s="255">
        <f ca="1">IF(MONTH(C475)=1,IF(B475&gt;69.5,F475/(INDEX('Retirement Planning'!D$1:D$264,(160+INT(B475))))/12,0),IF(F475=0,0,H474))</f>
        <v>0</v>
      </c>
      <c r="I475" s="262">
        <f t="shared" ca="1" si="199"/>
        <v>0</v>
      </c>
      <c r="J475" s="254">
        <f ca="1">IF(AND(B474&lt;59.5,OR(B475=59.5,B475&gt;59.5)),0,(J474-K474)*(1+'Retirement Planning'!$J$23/12))</f>
        <v>0</v>
      </c>
      <c r="K475" s="58">
        <f t="shared" ca="1" si="200"/>
        <v>0</v>
      </c>
      <c r="L475" s="57">
        <f>IF(AND(OR(B475&gt;59.5,B475=59.5),B474&lt;59.5),0,(L474-M474)*(1+'Retirement Planning'!$J$23/12))</f>
        <v>0</v>
      </c>
      <c r="M475" s="59">
        <f>IF(AND($B$10&lt;55,B475&lt;59.5),0,IF(B475&lt;59.5,MAX(0,MIN((($Y475+$AJ475+AA475)*'Retirement Planning'!$J$44)-$G475-$X475,L475)),0))</f>
        <v>0</v>
      </c>
      <c r="N475" s="57">
        <f ca="1">(N474-O474)*(1+'Retirement Planning'!$J$23/12)</f>
        <v>0</v>
      </c>
      <c r="O475" s="59">
        <f ca="1">IF(B475&gt;59.5,MAX(0,MIN((AA475+$Y475+$AJ475)*(IF(D475&lt;(MIN(E463:E474)+1),1,'Retirement Planning'!$J$44))-M475-$G475-$X475-(IF(D475&lt;(MIN(E463:E474)+1),D475,0)),N475)),0)</f>
        <v>0</v>
      </c>
      <c r="P475" s="57">
        <f t="shared" si="210"/>
        <v>0</v>
      </c>
      <c r="Q475" s="58">
        <f t="shared" si="211"/>
        <v>0</v>
      </c>
      <c r="R475" s="57">
        <f ca="1">(R474-S474-T474)*(1+'Retirement Planning'!$J$23/12)</f>
        <v>2460090.5962572224</v>
      </c>
      <c r="S475" s="58">
        <f t="shared" ca="1" si="212"/>
        <v>808.33333333333337</v>
      </c>
      <c r="T475" s="273">
        <f t="shared" ca="1" si="201"/>
        <v>-3.4106051316484809E-12</v>
      </c>
      <c r="U475" s="57">
        <f ca="1">(U474-V474)*(1+'Retirement Planning'!$J$23/12)</f>
        <v>1203499.2578866188</v>
      </c>
      <c r="V475" s="24">
        <f ca="1">IF(AND($B$10&lt;55,B475&lt;59.5),MIN(U475,MAX(0,(Y475+AA475+AJ475-G475)*'Retirement Planning'!$J$45)),IF(B475&lt;59.5,(MIN(U475,MAX(0,((Y475+AA475+AJ475)-G475-M475)*'Retirement Planning'!$J$45))),MIN(U475,MAX(0,(Y475+AA475+AJ475-G475-M475-K475-X475)*'Retirement Planning'!$J$45))))</f>
        <v>11228.489754324581</v>
      </c>
      <c r="W475" s="7">
        <f t="shared" ca="1" si="202"/>
        <v>5154135.5731340591</v>
      </c>
      <c r="X475" s="7">
        <f>(IF(B475&gt;'Retirement Planning'!$J$34,IF('Retirement Planning'!$J$34=70,'Retirement Planning'!$J$37/12,IF('Retirement Planning'!$J$34=67,'Retirement Planning'!$J$36/12,'Retirement Planning'!$J$35/12)),0))*'Retirement Planning'!$J$38</f>
        <v>1213.6000000000001</v>
      </c>
      <c r="Y475" s="7">
        <f ca="1">'Retirement Planning'!$F$35*((1+'Retirement Planning'!$J$24)^(YEAR('Projected Retirement Drawdown'!C475)-YEAR(TODAY())))</f>
        <v>19187.947033773951</v>
      </c>
      <c r="Z475" s="7">
        <f ca="1">G475+M475+O475+0.85*X475+V475*'Retirement Planning'!$J$46+T475</f>
        <v>7207.2293648785162</v>
      </c>
      <c r="AA475" s="7">
        <f ca="1">IF(MONTH(C475)=1,(((MIN(MAX(0,((SUM(Z463:Z474)-'Retirement Planning'!$I$53-'Retirement Planning'!$I$54)-'Retirement Planning'!$J$51)*'Retirement Planning'!$I$52))))+(MIN(MAX(0,((SUM(Z463:Z474)-'Retirement Planning'!$I$53-'Retirement Planning'!$I$54)-'Retirement Planning'!$J$50)*'Retirement Planning'!$I$51),('Retirement Planning'!$J$51-'Retirement Planning'!$J$50)*'Retirement Planning'!$I$51))+(MIN(MAX(0,((SUM(Z463:Z474)-'Retirement Planning'!$I$53-'Retirement Planning'!$I$54)-'Retirement Planning'!$J$49)*'Retirement Planning'!$I$50),('Retirement Planning'!$J$50-'Retirement Planning'!$J$49)*'Retirement Planning'!$I$50)+MIN(MAX(0,((SUM(Z463:Z474)-'Retirement Planning'!$I$53-'Retirement Planning'!$I$54)-'Retirement Planning'!$J$48)*'Retirement Planning'!$I$49),('Retirement Planning'!$J$49-'Retirement Planning'!$J$48)*'Retirement Planning'!$I$49)+MIN(((SUM(Z463:Z474)-'Retirement Planning'!$I$53-'Retirement Planning'!$I$54))*'Retirement Planning'!$I$48,('Retirement Planning'!$J$48)*'Retirement Planning'!$I$48))+(IF((SUM(Z463:Z474)-'Retirement Planning'!$I$54-'Retirement Planning'!$I$61)&gt;'Retirement Planning'!$J$59,(SUM(Z463:Z474)-'Retirement Planning'!$I$54-'Retirement Planning'!$I$61-'Retirement Planning'!$J$59)*'Retirement Planning'!$I$60+'Retirement Planning'!$K$59,IF((SUM(Z463:Z474)-'Retirement Planning'!$I$54-'Retirement Planning'!$I$61)&gt;'Retirement Planning'!$J$58,(SUM(Z463:Z474)-'Retirement Planning'!$I$54-'Retirement Planning'!$I$61-'Retirement Planning'!$J$58)*'Retirement Planning'!$I$59+'Retirement Planning'!$K$58,IF((SUM(Z463:Z474)-'Retirement Planning'!$I$54-'Retirement Planning'!$I$61)&gt;'Retirement Planning'!$J$57,(SUM(Z463:Z474)-'Retirement Planning'!$I$54-'Retirement Planning'!$I$61-'Retirement Planning'!$J$57)*'Retirement Planning'!$I$58+'Retirement Planning'!$K$57,IF((SUM(Z463:Z474)-'Retirement Planning'!$I$54-'Retirement Planning'!$I$61)&gt;'Retirement Planning'!$J$56,(SUM(Z463:Z474)-'Retirement Planning'!$I$54-'Retirement Planning'!$I$61-'Retirement Planning'!$J$56)*'Retirement Planning'!$I$57+'Retirement Planning'!$K$56,(SUM(Z463:Z474)-'Retirement Planning'!$I$54-'Retirement Planning'!$I$61)*'Retirement Planning'!$I$56))))))/12,AA474)</f>
        <v>6118.7466350475952</v>
      </c>
      <c r="AB475" s="104">
        <f t="shared" ca="1" si="193"/>
        <v>0.29142054903069553</v>
      </c>
      <c r="AC475" s="7">
        <f>IF(B475&lt;65,'Retirement Planning'!$J$28,0)</f>
        <v>0</v>
      </c>
      <c r="AD475" s="7">
        <f>IF(B475&lt;65,'Retirement Planning'!$J$29/12,0)</f>
        <v>0</v>
      </c>
      <c r="AE475" s="22">
        <f>'Retirement Planning'!$J$31/12</f>
        <v>58.333333333333336</v>
      </c>
      <c r="AF475" s="22">
        <f>'Retirement Planning'!$J$32/12</f>
        <v>66.666666666666671</v>
      </c>
      <c r="AG475" s="7">
        <f>IF($B475&gt;64.9,'Retirement Planning'!$J$39/12,0)</f>
        <v>183.33333333333334</v>
      </c>
      <c r="AH475" s="7">
        <f>IF($B475&gt;64.9,'Retirement Planning'!$J$40/12,0)</f>
        <v>258.33333333333331</v>
      </c>
      <c r="AI475" s="7">
        <f>IF($B475&gt;64.9,'Retirement Planning'!$J$41/12,0)</f>
        <v>558.33333333333337</v>
      </c>
      <c r="AJ475" s="7">
        <f t="shared" ca="1" si="203"/>
        <v>316.66666666666663</v>
      </c>
      <c r="AK475" s="3" t="str">
        <f t="shared" ca="1" si="190"/>
        <v>N/A</v>
      </c>
      <c r="AL475" s="6" t="str">
        <f t="shared" ca="1" si="191"/>
        <v>N/A</v>
      </c>
      <c r="AM475" s="7">
        <f t="shared" ca="1" si="204"/>
        <v>-2.2737367544323206E-13</v>
      </c>
      <c r="AN475" s="7">
        <f t="shared" ca="1" si="205"/>
        <v>26431.693668821546</v>
      </c>
      <c r="AO475" s="7">
        <f t="shared" si="206"/>
        <v>1125</v>
      </c>
    </row>
    <row r="476" spans="1:41" x14ac:dyDescent="0.2">
      <c r="A476">
        <f t="shared" si="207"/>
        <v>50</v>
      </c>
      <c r="B476" s="5">
        <f t="shared" si="208"/>
        <v>95.1</v>
      </c>
      <c r="C476" s="56">
        <f t="shared" si="209"/>
        <v>60602</v>
      </c>
      <c r="D476" s="57">
        <f ca="1">IF(AND(B475&lt;59.5,OR(B476&gt;59.5,B476=59.5)),(D475-E475+J475-K475)*(1+'Retirement Planning'!$J$23/12),(D475-E475)*(1+'Retirement Planning'!$J$23/12))</f>
        <v>1487829.1132519511</v>
      </c>
      <c r="E476" s="58">
        <f t="shared" ca="1" si="198"/>
        <v>13181.270581163635</v>
      </c>
      <c r="F476" s="57">
        <f ca="1">IF(AND(OR(B476&gt;59.5,B476=59.5),B475&lt;59.5),(F475-G475+L475-M475+N475-O475)*(1+'Retirement Planning'!$J$23/12),(F475-G475)*(1+'Retirement Planning'!$J$23/12))</f>
        <v>0</v>
      </c>
      <c r="G476" s="58">
        <f ca="1">IF(AND($B$10&lt;55,B476&lt;59.5),'Retirement Planning'!$J$25,IF(OR(B476&gt;59.5,B476=59.5),MAX(0,MIN(F476,IF(D476&lt;2500,((Y476+AJ476+AA476))-X476,((Y476+AJ476+AA476)*'Retirement Planning'!$J$44)-X476))),0))</f>
        <v>0</v>
      </c>
      <c r="H476" s="255">
        <f ca="1">IF(MONTH(C476)=1,IF(B476&gt;69.5,F476/(INDEX('Retirement Planning'!D$1:D$264,(160+INT(B476))))/12,0),IF(F476=0,0,H475))</f>
        <v>0</v>
      </c>
      <c r="I476" s="262">
        <f t="shared" ca="1" si="199"/>
        <v>0</v>
      </c>
      <c r="J476" s="254">
        <f ca="1">IF(AND(B475&lt;59.5,OR(B476=59.5,B476&gt;59.5)),0,(J475-K475)*(1+'Retirement Planning'!$J$23/12))</f>
        <v>0</v>
      </c>
      <c r="K476" s="58">
        <f t="shared" ca="1" si="200"/>
        <v>0</v>
      </c>
      <c r="L476" s="57">
        <f>IF(AND(OR(B476&gt;59.5,B476=59.5),B475&lt;59.5),0,(L475-M475)*(1+'Retirement Planning'!$J$23/12))</f>
        <v>0</v>
      </c>
      <c r="M476" s="59">
        <f>IF(AND($B$10&lt;55,B476&lt;59.5),0,IF(B476&lt;59.5,MAX(0,MIN((($Y476+$AJ476+AA476)*'Retirement Planning'!$J$44)-$G476-$X476,L476)),0))</f>
        <v>0</v>
      </c>
      <c r="N476" s="57">
        <f ca="1">(N475-O475)*(1+'Retirement Planning'!$J$23/12)</f>
        <v>0</v>
      </c>
      <c r="O476" s="59">
        <f ca="1">IF(B476&gt;59.5,MAX(0,MIN((AA476+$Y476+$AJ476)*(IF(D476&lt;(MIN(E464:E475)+1),1,'Retirement Planning'!$J$44))-M476-$G476-$X476-(IF(D476&lt;(MIN(E464:E475)+1),D476,0)),N476)),0)</f>
        <v>0</v>
      </c>
      <c r="P476" s="57">
        <f t="shared" si="210"/>
        <v>0</v>
      </c>
      <c r="Q476" s="58">
        <f t="shared" si="211"/>
        <v>0</v>
      </c>
      <c r="R476" s="57">
        <f ca="1">(R475-S475-T475)*(1+'Retirement Planning'!$J$23/12)</f>
        <v>2476702.1789529333</v>
      </c>
      <c r="S476" s="58">
        <f t="shared" ca="1" si="212"/>
        <v>808.33333333333337</v>
      </c>
      <c r="T476" s="273">
        <f t="shared" ca="1" si="201"/>
        <v>-3.4106051316484809E-12</v>
      </c>
      <c r="U476" s="57">
        <f ca="1">(U475-V475)*(1+'Retirement Planning'!$J$23/12)</f>
        <v>1200716.0194065648</v>
      </c>
      <c r="V476" s="24">
        <f ca="1">IF(AND($B$10&lt;55,B476&lt;59.5),MIN(U476,MAX(0,(Y476+AA476+AJ476-G476)*'Retirement Planning'!$J$45)),IF(B476&lt;59.5,(MIN(U476,MAX(0,((Y476+AA476+AJ476)-G476-M476)*'Retirement Planning'!$J$45))),MIN(U476,MAX(0,(Y476+AA476+AJ476-G476-M476-K476-X476)*'Retirement Planning'!$J$45))))</f>
        <v>11228.489754324581</v>
      </c>
      <c r="W476" s="7">
        <f t="shared" ca="1" si="202"/>
        <v>5165247.3116114493</v>
      </c>
      <c r="X476" s="7">
        <f>(IF(B476&gt;'Retirement Planning'!$J$34,IF('Retirement Planning'!$J$34=70,'Retirement Planning'!$J$37/12,IF('Retirement Planning'!$J$34=67,'Retirement Planning'!$J$36/12,'Retirement Planning'!$J$35/12)),0))*'Retirement Planning'!$J$38</f>
        <v>1213.6000000000001</v>
      </c>
      <c r="Y476" s="7">
        <f ca="1">'Retirement Planning'!$F$35*((1+'Retirement Planning'!$J$24)^(YEAR('Projected Retirement Drawdown'!C476)-YEAR(TODAY())))</f>
        <v>19187.947033773951</v>
      </c>
      <c r="Z476" s="7">
        <f ca="1">G476+M476+O476+0.85*X476+V476*'Retirement Planning'!$J$46+T476</f>
        <v>7207.2293648785162</v>
      </c>
      <c r="AA476" s="7">
        <f ca="1">IF(MONTH(C476)=1,(((MIN(MAX(0,((SUM(Z464:Z475)-'Retirement Planning'!$I$53-'Retirement Planning'!$I$54)-'Retirement Planning'!$J$51)*'Retirement Planning'!$I$52))))+(MIN(MAX(0,((SUM(Z464:Z475)-'Retirement Planning'!$I$53-'Retirement Planning'!$I$54)-'Retirement Planning'!$J$50)*'Retirement Planning'!$I$51),('Retirement Planning'!$J$51-'Retirement Planning'!$J$50)*'Retirement Planning'!$I$51))+(MIN(MAX(0,((SUM(Z464:Z475)-'Retirement Planning'!$I$53-'Retirement Planning'!$I$54)-'Retirement Planning'!$J$49)*'Retirement Planning'!$I$50),('Retirement Planning'!$J$50-'Retirement Planning'!$J$49)*'Retirement Planning'!$I$50)+MIN(MAX(0,((SUM(Z464:Z475)-'Retirement Planning'!$I$53-'Retirement Planning'!$I$54)-'Retirement Planning'!$J$48)*'Retirement Planning'!$I$49),('Retirement Planning'!$J$49-'Retirement Planning'!$J$48)*'Retirement Planning'!$I$49)+MIN(((SUM(Z464:Z475)-'Retirement Planning'!$I$53-'Retirement Planning'!$I$54))*'Retirement Planning'!$I$48,('Retirement Planning'!$J$48)*'Retirement Planning'!$I$48))+(IF((SUM(Z464:Z475)-'Retirement Planning'!$I$54-'Retirement Planning'!$I$61)&gt;'Retirement Planning'!$J$59,(SUM(Z464:Z475)-'Retirement Planning'!$I$54-'Retirement Planning'!$I$61-'Retirement Planning'!$J$59)*'Retirement Planning'!$I$60+'Retirement Planning'!$K$59,IF((SUM(Z464:Z475)-'Retirement Planning'!$I$54-'Retirement Planning'!$I$61)&gt;'Retirement Planning'!$J$58,(SUM(Z464:Z475)-'Retirement Planning'!$I$54-'Retirement Planning'!$I$61-'Retirement Planning'!$J$58)*'Retirement Planning'!$I$59+'Retirement Planning'!$K$58,IF((SUM(Z464:Z475)-'Retirement Planning'!$I$54-'Retirement Planning'!$I$61)&gt;'Retirement Planning'!$J$57,(SUM(Z464:Z475)-'Retirement Planning'!$I$54-'Retirement Planning'!$I$61-'Retirement Planning'!$J$57)*'Retirement Planning'!$I$58+'Retirement Planning'!$K$57,IF((SUM(Z464:Z475)-'Retirement Planning'!$I$54-'Retirement Planning'!$I$61)&gt;'Retirement Planning'!$J$56,(SUM(Z464:Z475)-'Retirement Planning'!$I$54-'Retirement Planning'!$I$61-'Retirement Planning'!$J$56)*'Retirement Planning'!$I$57+'Retirement Planning'!$K$56,(SUM(Z464:Z475)-'Retirement Planning'!$I$54-'Retirement Planning'!$I$61)*'Retirement Planning'!$I$56))))))/12,AA475)</f>
        <v>6118.7466350475952</v>
      </c>
      <c r="AB476" s="104">
        <f t="shared" ca="1" si="193"/>
        <v>0.29142054903069553</v>
      </c>
      <c r="AC476" s="7">
        <f>IF(B476&lt;65,'Retirement Planning'!$J$28,0)</f>
        <v>0</v>
      </c>
      <c r="AD476" s="7">
        <f>IF(B476&lt;65,'Retirement Planning'!$J$29/12,0)</f>
        <v>0</v>
      </c>
      <c r="AE476" s="22">
        <f>'Retirement Planning'!$J$31/12</f>
        <v>58.333333333333336</v>
      </c>
      <c r="AF476" s="22">
        <f>'Retirement Planning'!$J$32/12</f>
        <v>66.666666666666671</v>
      </c>
      <c r="AG476" s="7">
        <f>IF($B476&gt;64.9,'Retirement Planning'!$J$39/12,0)</f>
        <v>183.33333333333334</v>
      </c>
      <c r="AH476" s="7">
        <f>IF($B476&gt;64.9,'Retirement Planning'!$J$40/12,0)</f>
        <v>258.33333333333331</v>
      </c>
      <c r="AI476" s="7">
        <f>IF($B476&gt;64.9,'Retirement Planning'!$J$41/12,0)</f>
        <v>558.33333333333337</v>
      </c>
      <c r="AJ476" s="7">
        <f t="shared" ca="1" si="203"/>
        <v>316.66666666666663</v>
      </c>
      <c r="AK476" s="3" t="str">
        <f t="shared" ca="1" si="190"/>
        <v>N/A</v>
      </c>
      <c r="AL476" s="6" t="str">
        <f t="shared" ca="1" si="191"/>
        <v>N/A</v>
      </c>
      <c r="AM476" s="7">
        <f t="shared" ca="1" si="204"/>
        <v>-2.2737367544323206E-13</v>
      </c>
      <c r="AN476" s="7">
        <f t="shared" ca="1" si="205"/>
        <v>26431.693668821546</v>
      </c>
      <c r="AO476" s="7">
        <f t="shared" si="206"/>
        <v>1125</v>
      </c>
    </row>
    <row r="477" spans="1:41" x14ac:dyDescent="0.2">
      <c r="A477">
        <f t="shared" si="207"/>
        <v>50</v>
      </c>
      <c r="B477" s="5">
        <f t="shared" si="208"/>
        <v>95.2</v>
      </c>
      <c r="C477" s="56">
        <f t="shared" si="209"/>
        <v>60633</v>
      </c>
      <c r="D477" s="57">
        <f ca="1">IF(AND(B476&lt;59.5,OR(B477&gt;59.5,B477=59.5)),(D476-E476+J476-K476)*(1+'Retirement Planning'!$J$23/12),(D476-E476)*(1+'Retirement Planning'!$J$23/12))</f>
        <v>1485093.2648897055</v>
      </c>
      <c r="E477" s="58">
        <f t="shared" ca="1" si="198"/>
        <v>12182.972021221765</v>
      </c>
      <c r="F477" s="57">
        <f ca="1">IF(AND(OR(B477&gt;59.5,B477=59.5),B476&lt;59.5),(F476-G476+L476-M476+N476-O476)*(1+'Retirement Planning'!$J$23/12),(F476-G476)*(1+'Retirement Planning'!$J$23/12))</f>
        <v>0</v>
      </c>
      <c r="G477" s="58">
        <f ca="1">IF(AND($B$10&lt;55,B477&lt;59.5),'Retirement Planning'!$J$25,IF(OR(B477&gt;59.5,B477=59.5),MAX(0,MIN(F477,IF(D477&lt;2500,((Y477+AJ477+AA477))-X477,((Y477+AJ477+AA477)*'Retirement Planning'!$J$44)-X477))),0))</f>
        <v>0</v>
      </c>
      <c r="H477" s="255">
        <f ca="1">IF(MONTH(C477)=1,IF(B477&gt;69.5,F477/(INDEX('Retirement Planning'!D$1:D$264,(160+INT(B477))))/12,0),IF(F477=0,0,H476))</f>
        <v>0</v>
      </c>
      <c r="I477" s="262">
        <f t="shared" ca="1" si="199"/>
        <v>0</v>
      </c>
      <c r="J477" s="254">
        <f ca="1">IF(AND(B476&lt;59.5,OR(B477=59.5,B477&gt;59.5)),0,(J476-K476)*(1+'Retirement Planning'!$J$23/12))</f>
        <v>0</v>
      </c>
      <c r="K477" s="58">
        <f t="shared" ca="1" si="200"/>
        <v>0</v>
      </c>
      <c r="L477" s="57">
        <f>IF(AND(OR(B477&gt;59.5,B477=59.5),B476&lt;59.5),0,(L476-M476)*(1+'Retirement Planning'!$J$23/12))</f>
        <v>0</v>
      </c>
      <c r="M477" s="59">
        <f>IF(AND($B$10&lt;55,B477&lt;59.5),0,IF(B477&lt;59.5,MAX(0,MIN((($Y477+$AJ477+AA477)*'Retirement Planning'!$J$44)-$G477-$X477,L477)),0))</f>
        <v>0</v>
      </c>
      <c r="N477" s="57">
        <f ca="1">(N476-O476)*(1+'Retirement Planning'!$J$23/12)</f>
        <v>0</v>
      </c>
      <c r="O477" s="59">
        <f ca="1">IF(B477&gt;59.5,MAX(0,MIN((AA477+$Y477+$AJ477)*(IF(D477&lt;(MIN(E465:E476)+1),1,'Retirement Planning'!$J$44))-M477-$G477-$X477-(IF(D477&lt;(MIN(E465:E476)+1),D477,0)),N477)),0)</f>
        <v>0</v>
      </c>
      <c r="P477" s="57">
        <f t="shared" si="210"/>
        <v>0</v>
      </c>
      <c r="Q477" s="58">
        <f t="shared" si="211"/>
        <v>0</v>
      </c>
      <c r="R477" s="57">
        <f ca="1">(R476-S476-T476)*(1+'Retirement Planning'!$J$23/12)</f>
        <v>2493431.4270260721</v>
      </c>
      <c r="S477" s="58">
        <f t="shared" ca="1" si="212"/>
        <v>808.33333333333337</v>
      </c>
      <c r="T477" s="273">
        <f t="shared" ca="1" si="201"/>
        <v>-3.4106051316484809E-12</v>
      </c>
      <c r="U477" s="57">
        <f ca="1">(U476-V476)*(1+'Retirement Planning'!$J$23/12)</f>
        <v>1197913.0663206102</v>
      </c>
      <c r="V477" s="24">
        <f ca="1">IF(AND($B$10&lt;55,B477&lt;59.5),MIN(U477,MAX(0,(Y477+AA477+AJ477-G477)*'Retirement Planning'!$J$45)),IF(B477&lt;59.5,(MIN(U477,MAX(0,((Y477+AA477+AJ477)-G477-M477)*'Retirement Planning'!$J$45))),MIN(U477,MAX(0,(Y477+AA477+AJ477-G477-M477-K477-X477)*'Retirement Planning'!$J$45))))</f>
        <v>10378.087277337061</v>
      </c>
      <c r="W477" s="7">
        <f t="shared" ca="1" si="202"/>
        <v>5176437.7582363877</v>
      </c>
      <c r="X477" s="7">
        <f>(IF(B477&gt;'Retirement Planning'!$J$34,IF('Retirement Planning'!$J$34=70,'Retirement Planning'!$J$37/12,IF('Retirement Planning'!$J$34=67,'Retirement Planning'!$J$36/12,'Retirement Planning'!$J$35/12)),0))*'Retirement Planning'!$J$38</f>
        <v>1213.6000000000001</v>
      </c>
      <c r="Y477" s="7">
        <f ca="1">'Retirement Planning'!$F$35*((1+'Retirement Planning'!$J$24)^(YEAR('Projected Retirement Drawdown'!C477)-YEAR(TODAY())))</f>
        <v>19859.525179956036</v>
      </c>
      <c r="Z477" s="7">
        <f ca="1">G477+M477+O477+0.85*X477+V477*'Retirement Planning'!$J$46+T477</f>
        <v>6739.5080025353809</v>
      </c>
      <c r="AA477" s="7">
        <f ca="1">IF(MONTH(C477)=1,(((MIN(MAX(0,((SUM(Z465:Z476)-'Retirement Planning'!$I$53-'Retirement Planning'!$I$54)-'Retirement Planning'!$J$51)*'Retirement Planning'!$I$52))))+(MIN(MAX(0,((SUM(Z465:Z476)-'Retirement Planning'!$I$53-'Retirement Planning'!$I$54)-'Retirement Planning'!$J$50)*'Retirement Planning'!$I$51),('Retirement Planning'!$J$51-'Retirement Planning'!$J$50)*'Retirement Planning'!$I$51))+(MIN(MAX(0,((SUM(Z465:Z476)-'Retirement Planning'!$I$53-'Retirement Planning'!$I$54)-'Retirement Planning'!$J$49)*'Retirement Planning'!$I$50),('Retirement Planning'!$J$50-'Retirement Planning'!$J$49)*'Retirement Planning'!$I$50)+MIN(MAX(0,((SUM(Z465:Z476)-'Retirement Planning'!$I$53-'Retirement Planning'!$I$54)-'Retirement Planning'!$J$48)*'Retirement Planning'!$I$49),('Retirement Planning'!$J$49-'Retirement Planning'!$J$48)*'Retirement Planning'!$I$49)+MIN(((SUM(Z465:Z476)-'Retirement Planning'!$I$53-'Retirement Planning'!$I$54))*'Retirement Planning'!$I$48,('Retirement Planning'!$J$48)*'Retirement Planning'!$I$48))+(IF((SUM(Z465:Z476)-'Retirement Planning'!$I$54-'Retirement Planning'!$I$61)&gt;'Retirement Planning'!$J$59,(SUM(Z465:Z476)-'Retirement Planning'!$I$54-'Retirement Planning'!$I$61-'Retirement Planning'!$J$59)*'Retirement Planning'!$I$60+'Retirement Planning'!$K$59,IF((SUM(Z465:Z476)-'Retirement Planning'!$I$54-'Retirement Planning'!$I$61)&gt;'Retirement Planning'!$J$58,(SUM(Z465:Z476)-'Retirement Planning'!$I$54-'Retirement Planning'!$I$61-'Retirement Planning'!$J$58)*'Retirement Planning'!$I$59+'Retirement Planning'!$K$58,IF((SUM(Z465:Z476)-'Retirement Planning'!$I$54-'Retirement Planning'!$I$61)&gt;'Retirement Planning'!$J$57,(SUM(Z465:Z476)-'Retirement Planning'!$I$54-'Retirement Planning'!$I$61-'Retirement Planning'!$J$57)*'Retirement Planning'!$I$58+'Retirement Planning'!$K$57,IF((SUM(Z465:Z476)-'Retirement Planning'!$I$54-'Retirement Planning'!$I$61)&gt;'Retirement Planning'!$J$56,(SUM(Z465:Z476)-'Retirement Planning'!$I$54-'Retirement Planning'!$I$61-'Retirement Planning'!$J$56)*'Retirement Planning'!$I$57+'Retirement Planning'!$K$56,(SUM(Z465:Z476)-'Retirement Planning'!$I$54-'Retirement Planning'!$I$61)*'Retirement Planning'!$I$56))))))/12,AA476)</f>
        <v>3598.4674519361197</v>
      </c>
      <c r="AB477" s="104">
        <f t="shared" ref="AB477" ca="1" si="215">SUM(AA477:AA488)/SUM(Z465:Z476)</f>
        <v>0.25844705221664188</v>
      </c>
      <c r="AC477" s="7">
        <f>IF(B477&lt;65,'Retirement Planning'!$J$28,0)</f>
        <v>0</v>
      </c>
      <c r="AD477" s="7">
        <f>IF(B477&lt;65,'Retirement Planning'!$J$29/12,0)</f>
        <v>0</v>
      </c>
      <c r="AE477" s="22">
        <f>'Retirement Planning'!$J$31/12</f>
        <v>58.333333333333336</v>
      </c>
      <c r="AF477" s="22">
        <f>'Retirement Planning'!$J$32/12</f>
        <v>66.666666666666671</v>
      </c>
      <c r="AG477" s="7">
        <f>IF($B477&gt;64.9,'Retirement Planning'!$J$39/12,0)</f>
        <v>183.33333333333334</v>
      </c>
      <c r="AH477" s="7">
        <f>IF($B477&gt;64.9,'Retirement Planning'!$J$40/12,0)</f>
        <v>258.33333333333331</v>
      </c>
      <c r="AI477" s="7">
        <f>IF($B477&gt;64.9,'Retirement Planning'!$J$41/12,0)</f>
        <v>558.33333333333337</v>
      </c>
      <c r="AJ477" s="7">
        <f t="shared" ca="1" si="203"/>
        <v>316.66666666666663</v>
      </c>
      <c r="AK477" s="3" t="str">
        <f t="shared" ca="1" si="190"/>
        <v>N/A</v>
      </c>
      <c r="AL477" s="6" t="str">
        <f t="shared" ca="1" si="191"/>
        <v>N/A</v>
      </c>
      <c r="AM477" s="7">
        <f t="shared" ca="1" si="204"/>
        <v>-2.2737367544323206E-13</v>
      </c>
      <c r="AN477" s="7">
        <f t="shared" ca="1" si="205"/>
        <v>24582.992631892157</v>
      </c>
      <c r="AO477" s="7">
        <f t="shared" si="206"/>
        <v>1125</v>
      </c>
    </row>
    <row r="478" spans="1:41" x14ac:dyDescent="0.2">
      <c r="A478">
        <f t="shared" si="207"/>
        <v>50</v>
      </c>
      <c r="B478" s="5">
        <f t="shared" si="208"/>
        <v>95.3</v>
      </c>
      <c r="C478" s="56">
        <f t="shared" si="209"/>
        <v>60664</v>
      </c>
      <c r="D478" s="57">
        <f ca="1">IF(AND(B477&lt;59.5,OR(B478&gt;59.5,B478=59.5)),(D477-E477+J477-K477)*(1+'Retirement Planning'!$J$23/12),(D477-E477)*(1+'Retirement Planning'!$J$23/12))</f>
        <v>1483343.4074429688</v>
      </c>
      <c r="E478" s="58">
        <f t="shared" ca="1" si="198"/>
        <v>12182.972021221765</v>
      </c>
      <c r="F478" s="57">
        <f ca="1">IF(AND(OR(B478&gt;59.5,B478=59.5),B477&lt;59.5),(F477-G477+L477-M477+N477-O477)*(1+'Retirement Planning'!$J$23/12),(F477-G477)*(1+'Retirement Planning'!$J$23/12))</f>
        <v>0</v>
      </c>
      <c r="G478" s="58">
        <f ca="1">IF(AND($B$10&lt;55,B478&lt;59.5),'Retirement Planning'!$J$25,IF(OR(B478&gt;59.5,B478=59.5),MAX(0,MIN(F478,IF(D478&lt;2500,((Y478+AJ478+AA478))-X478,((Y478+AJ478+AA478)*'Retirement Planning'!$J$44)-X478))),0))</f>
        <v>0</v>
      </c>
      <c r="H478" s="255">
        <f ca="1">IF(MONTH(C478)=1,IF(B478&gt;69.5,F478/(INDEX('Retirement Planning'!D$1:D$264,(160+INT(B478))))/12,0),IF(F478=0,0,H477))</f>
        <v>0</v>
      </c>
      <c r="I478" s="262">
        <f t="shared" ca="1" si="199"/>
        <v>0</v>
      </c>
      <c r="J478" s="254">
        <f ca="1">IF(AND(B477&lt;59.5,OR(B478=59.5,B478&gt;59.5)),0,(J477-K477)*(1+'Retirement Planning'!$J$23/12))</f>
        <v>0</v>
      </c>
      <c r="K478" s="58">
        <f t="shared" ca="1" si="200"/>
        <v>0</v>
      </c>
      <c r="L478" s="57">
        <f>IF(AND(OR(B478&gt;59.5,B478=59.5),B477&lt;59.5),0,(L477-M477)*(1+'Retirement Planning'!$J$23/12))</f>
        <v>0</v>
      </c>
      <c r="M478" s="59">
        <f>IF(AND($B$10&lt;55,B478&lt;59.5),0,IF(B478&lt;59.5,MAX(0,MIN((($Y478+$AJ478+AA478)*'Retirement Planning'!$J$44)-$G478-$X478,L478)),0))</f>
        <v>0</v>
      </c>
      <c r="N478" s="57">
        <f ca="1">(N477-O477)*(1+'Retirement Planning'!$J$23/12)</f>
        <v>0</v>
      </c>
      <c r="O478" s="59">
        <f ca="1">IF(B478&gt;59.5,MAX(0,MIN((AA478+$Y478+$AJ478)*(IF(D478&lt;(MIN(E466:E477)+1),1,'Retirement Planning'!$J$44))-M478-$G478-$X478-(IF(D478&lt;(MIN(E466:E477)+1),D478,0)),N478)),0)</f>
        <v>0</v>
      </c>
      <c r="P478" s="57">
        <f t="shared" si="210"/>
        <v>0</v>
      </c>
      <c r="Q478" s="58">
        <f t="shared" si="211"/>
        <v>0</v>
      </c>
      <c r="R478" s="57">
        <f ca="1">(R477-S477-T477)*(1+'Retirement Planning'!$J$23/12)</f>
        <v>2510279.1739397286</v>
      </c>
      <c r="S478" s="58">
        <f t="shared" ca="1" si="212"/>
        <v>808.33333333333337</v>
      </c>
      <c r="T478" s="273">
        <f t="shared" ca="1" si="201"/>
        <v>-3.4106051316484809E-12</v>
      </c>
      <c r="U478" s="57">
        <f ca="1">(U477-V477)*(1+'Retirement Planning'!$J$23/12)</f>
        <v>1195946.6851448298</v>
      </c>
      <c r="V478" s="24">
        <f ca="1">IF(AND($B$10&lt;55,B478&lt;59.5),MIN(U478,MAX(0,(Y478+AA478+AJ478-G478)*'Retirement Planning'!$J$45)),IF(B478&lt;59.5,(MIN(U478,MAX(0,((Y478+AA478+AJ478)-G478-M478)*'Retirement Planning'!$J$45))),MIN(U478,MAX(0,(Y478+AA478+AJ478-G478-M478-K478-X478)*'Retirement Planning'!$J$45))))</f>
        <v>10378.087277337061</v>
      </c>
      <c r="W478" s="7">
        <f t="shared" ca="1" si="202"/>
        <v>5189569.266527527</v>
      </c>
      <c r="X478" s="7">
        <f>(IF(B478&gt;'Retirement Planning'!$J$34,IF('Retirement Planning'!$J$34=70,'Retirement Planning'!$J$37/12,IF('Retirement Planning'!$J$34=67,'Retirement Planning'!$J$36/12,'Retirement Planning'!$J$35/12)),0))*'Retirement Planning'!$J$38</f>
        <v>1213.6000000000001</v>
      </c>
      <c r="Y478" s="7">
        <f ca="1">'Retirement Planning'!$F$35*((1+'Retirement Planning'!$J$24)^(YEAR('Projected Retirement Drawdown'!C478)-YEAR(TODAY())))</f>
        <v>19859.525179956036</v>
      </c>
      <c r="Z478" s="7">
        <f ca="1">G478+M478+O478+0.85*X478+V478*'Retirement Planning'!$J$46+T478</f>
        <v>6739.5080025353809</v>
      </c>
      <c r="AA478" s="7">
        <f ca="1">IF(MONTH(C478)=1,(((MIN(MAX(0,((SUM(Z466:Z477)-'Retirement Planning'!$I$53-'Retirement Planning'!$I$54)-'Retirement Planning'!$J$51)*'Retirement Planning'!$I$52))))+(MIN(MAX(0,((SUM(Z466:Z477)-'Retirement Planning'!$I$53-'Retirement Planning'!$I$54)-'Retirement Planning'!$J$50)*'Retirement Planning'!$I$51),('Retirement Planning'!$J$51-'Retirement Planning'!$J$50)*'Retirement Planning'!$I$51))+(MIN(MAX(0,((SUM(Z466:Z477)-'Retirement Planning'!$I$53-'Retirement Planning'!$I$54)-'Retirement Planning'!$J$49)*'Retirement Planning'!$I$50),('Retirement Planning'!$J$50-'Retirement Planning'!$J$49)*'Retirement Planning'!$I$50)+MIN(MAX(0,((SUM(Z466:Z477)-'Retirement Planning'!$I$53-'Retirement Planning'!$I$54)-'Retirement Planning'!$J$48)*'Retirement Planning'!$I$49),('Retirement Planning'!$J$49-'Retirement Planning'!$J$48)*'Retirement Planning'!$I$49)+MIN(((SUM(Z466:Z477)-'Retirement Planning'!$I$53-'Retirement Planning'!$I$54))*'Retirement Planning'!$I$48,('Retirement Planning'!$J$48)*'Retirement Planning'!$I$48))+(IF((SUM(Z466:Z477)-'Retirement Planning'!$I$54-'Retirement Planning'!$I$61)&gt;'Retirement Planning'!$J$59,(SUM(Z466:Z477)-'Retirement Planning'!$I$54-'Retirement Planning'!$I$61-'Retirement Planning'!$J$59)*'Retirement Planning'!$I$60+'Retirement Planning'!$K$59,IF((SUM(Z466:Z477)-'Retirement Planning'!$I$54-'Retirement Planning'!$I$61)&gt;'Retirement Planning'!$J$58,(SUM(Z466:Z477)-'Retirement Planning'!$I$54-'Retirement Planning'!$I$61-'Retirement Planning'!$J$58)*'Retirement Planning'!$I$59+'Retirement Planning'!$K$58,IF((SUM(Z466:Z477)-'Retirement Planning'!$I$54-'Retirement Planning'!$I$61)&gt;'Retirement Planning'!$J$57,(SUM(Z466:Z477)-'Retirement Planning'!$I$54-'Retirement Planning'!$I$61-'Retirement Planning'!$J$57)*'Retirement Planning'!$I$58+'Retirement Planning'!$K$57,IF((SUM(Z466:Z477)-'Retirement Planning'!$I$54-'Retirement Planning'!$I$61)&gt;'Retirement Planning'!$J$56,(SUM(Z466:Z477)-'Retirement Planning'!$I$54-'Retirement Planning'!$I$61-'Retirement Planning'!$J$56)*'Retirement Planning'!$I$57+'Retirement Planning'!$K$56,(SUM(Z466:Z477)-'Retirement Planning'!$I$54-'Retirement Planning'!$I$61)*'Retirement Planning'!$I$56))))))/12,AA477)</f>
        <v>3598.4674519361197</v>
      </c>
      <c r="AB478" s="104">
        <f t="shared" ref="AB478:AB500" ca="1" si="216">AB477</f>
        <v>0.25844705221664188</v>
      </c>
      <c r="AC478" s="7">
        <f>IF(B478&lt;65,'Retirement Planning'!$J$28,0)</f>
        <v>0</v>
      </c>
      <c r="AD478" s="7">
        <f>IF(B478&lt;65,'Retirement Planning'!$J$29/12,0)</f>
        <v>0</v>
      </c>
      <c r="AE478" s="22">
        <f>'Retirement Planning'!$J$31/12</f>
        <v>58.333333333333336</v>
      </c>
      <c r="AF478" s="22">
        <f>'Retirement Planning'!$J$32/12</f>
        <v>66.666666666666671</v>
      </c>
      <c r="AG478" s="7">
        <f>IF($B478&gt;64.9,'Retirement Planning'!$J$39/12,0)</f>
        <v>183.33333333333334</v>
      </c>
      <c r="AH478" s="7">
        <f>IF($B478&gt;64.9,'Retirement Planning'!$J$40/12,0)</f>
        <v>258.33333333333331</v>
      </c>
      <c r="AI478" s="7">
        <f>IF($B478&gt;64.9,'Retirement Planning'!$J$41/12,0)</f>
        <v>558.33333333333337</v>
      </c>
      <c r="AJ478" s="7">
        <f t="shared" ca="1" si="203"/>
        <v>316.66666666666663</v>
      </c>
      <c r="AK478" s="3" t="str">
        <f t="shared" ca="1" si="190"/>
        <v>N/A</v>
      </c>
      <c r="AL478" s="6" t="str">
        <f t="shared" ca="1" si="191"/>
        <v>N/A</v>
      </c>
      <c r="AM478" s="7">
        <f t="shared" ca="1" si="204"/>
        <v>-2.2737367544323206E-13</v>
      </c>
      <c r="AN478" s="7">
        <f t="shared" ca="1" si="205"/>
        <v>24582.992631892157</v>
      </c>
      <c r="AO478" s="7">
        <f t="shared" si="206"/>
        <v>1125</v>
      </c>
    </row>
    <row r="479" spans="1:41" x14ac:dyDescent="0.2">
      <c r="A479">
        <f t="shared" si="207"/>
        <v>50</v>
      </c>
      <c r="B479" s="5">
        <f t="shared" si="208"/>
        <v>95.4</v>
      </c>
      <c r="C479" s="56">
        <f t="shared" si="209"/>
        <v>60692</v>
      </c>
      <c r="D479" s="57">
        <f ca="1">IF(AND(B478&lt;59.5,OR(B479&gt;59.5,B479=59.5)),(D478-E478+J478-K478)*(1+'Retirement Planning'!$J$23/12),(D478-E478)*(1+'Retirement Planning'!$J$23/12))</f>
        <v>1481581.1551726512</v>
      </c>
      <c r="E479" s="58">
        <f t="shared" ca="1" si="198"/>
        <v>12182.972021221765</v>
      </c>
      <c r="F479" s="57">
        <f ca="1">IF(AND(OR(B479&gt;59.5,B479=59.5),B478&lt;59.5),(F478-G478+L478-M478+N478-O478)*(1+'Retirement Planning'!$J$23/12),(F478-G478)*(1+'Retirement Planning'!$J$23/12))</f>
        <v>0</v>
      </c>
      <c r="G479" s="58">
        <f ca="1">IF(AND($B$10&lt;55,B479&lt;59.5),'Retirement Planning'!$J$25,IF(OR(B479&gt;59.5,B479=59.5),MAX(0,MIN(F479,IF(D479&lt;2500,((Y479+AJ479+AA479))-X479,((Y479+AJ479+AA479)*'Retirement Planning'!$J$44)-X479))),0))</f>
        <v>0</v>
      </c>
      <c r="H479" s="255">
        <f ca="1">IF(MONTH(C479)=1,IF(B479&gt;69.5,F479/(INDEX('Retirement Planning'!D$1:D$264,(160+INT(B479))))/12,0),IF(F479=0,0,H478))</f>
        <v>0</v>
      </c>
      <c r="I479" s="262">
        <f t="shared" ca="1" si="199"/>
        <v>0</v>
      </c>
      <c r="J479" s="254">
        <f ca="1">IF(AND(B478&lt;59.5,OR(B479=59.5,B479&gt;59.5)),0,(J478-K478)*(1+'Retirement Planning'!$J$23/12))</f>
        <v>0</v>
      </c>
      <c r="K479" s="58">
        <f t="shared" ca="1" si="200"/>
        <v>0</v>
      </c>
      <c r="L479" s="57">
        <f>IF(AND(OR(B479&gt;59.5,B479=59.5),B478&lt;59.5),0,(L478-M478)*(1+'Retirement Planning'!$J$23/12))</f>
        <v>0</v>
      </c>
      <c r="M479" s="59">
        <f>IF(AND($B$10&lt;55,B479&lt;59.5),0,IF(B479&lt;59.5,MAX(0,MIN((($Y479+$AJ479+AA479)*'Retirement Planning'!$J$44)-$G479-$X479,L479)),0))</f>
        <v>0</v>
      </c>
      <c r="N479" s="57">
        <f ca="1">(N478-O478)*(1+'Retirement Planning'!$J$23/12)</f>
        <v>0</v>
      </c>
      <c r="O479" s="59">
        <f ca="1">IF(B479&gt;59.5,MAX(0,MIN((AA479+$Y479+$AJ479)*(IF(D479&lt;(MIN(E467:E478)+1),1,'Retirement Planning'!$J$44))-M479-$G479-$X479-(IF(D479&lt;(MIN(E467:E478)+1),D479,0)),N479)),0)</f>
        <v>0</v>
      </c>
      <c r="P479" s="57">
        <f t="shared" si="210"/>
        <v>0</v>
      </c>
      <c r="Q479" s="58">
        <f t="shared" si="211"/>
        <v>0</v>
      </c>
      <c r="R479" s="57">
        <f ca="1">(R478-S478-T478)*(1+'Retirement Planning'!$J$23/12)</f>
        <v>2527246.2590606906</v>
      </c>
      <c r="S479" s="58">
        <f t="shared" ca="1" si="212"/>
        <v>808.33333333333337</v>
      </c>
      <c r="T479" s="273">
        <f t="shared" ca="1" si="201"/>
        <v>-3.4106051316484809E-12</v>
      </c>
      <c r="U479" s="57">
        <f ca="1">(U478-V478)*(1+'Retirement Planning'!$J$23/12)</f>
        <v>1193966.3754357209</v>
      </c>
      <c r="V479" s="24">
        <f ca="1">IF(AND($B$10&lt;55,B479&lt;59.5),MIN(U479,MAX(0,(Y479+AA479+AJ479-G479)*'Retirement Planning'!$J$45)),IF(B479&lt;59.5,(MIN(U479,MAX(0,((Y479+AA479+AJ479)-G479-M479)*'Retirement Planning'!$J$45))),MIN(U479,MAX(0,(Y479+AA479+AJ479-G479-M479-K479-X479)*'Retirement Planning'!$J$45))))</f>
        <v>10378.087277337061</v>
      </c>
      <c r="W479" s="7">
        <f t="shared" ca="1" si="202"/>
        <v>5202793.7896690629</v>
      </c>
      <c r="X479" s="7">
        <f>(IF(B479&gt;'Retirement Planning'!$J$34,IF('Retirement Planning'!$J$34=70,'Retirement Planning'!$J$37/12,IF('Retirement Planning'!$J$34=67,'Retirement Planning'!$J$36/12,'Retirement Planning'!$J$35/12)),0))*'Retirement Planning'!$J$38</f>
        <v>1213.6000000000001</v>
      </c>
      <c r="Y479" s="7">
        <f ca="1">'Retirement Planning'!$F$35*((1+'Retirement Planning'!$J$24)^(YEAR('Projected Retirement Drawdown'!C479)-YEAR(TODAY())))</f>
        <v>19859.525179956036</v>
      </c>
      <c r="Z479" s="7">
        <f ca="1">G479+M479+O479+0.85*X479+V479*'Retirement Planning'!$J$46+T479</f>
        <v>6739.5080025353809</v>
      </c>
      <c r="AA479" s="7">
        <f ca="1">IF(MONTH(C479)=1,(((MIN(MAX(0,((SUM(Z467:Z478)-'Retirement Planning'!$I$53-'Retirement Planning'!$I$54)-'Retirement Planning'!$J$51)*'Retirement Planning'!$I$52))))+(MIN(MAX(0,((SUM(Z467:Z478)-'Retirement Planning'!$I$53-'Retirement Planning'!$I$54)-'Retirement Planning'!$J$50)*'Retirement Planning'!$I$51),('Retirement Planning'!$J$51-'Retirement Planning'!$J$50)*'Retirement Planning'!$I$51))+(MIN(MAX(0,((SUM(Z467:Z478)-'Retirement Planning'!$I$53-'Retirement Planning'!$I$54)-'Retirement Planning'!$J$49)*'Retirement Planning'!$I$50),('Retirement Planning'!$J$50-'Retirement Planning'!$J$49)*'Retirement Planning'!$I$50)+MIN(MAX(0,((SUM(Z467:Z478)-'Retirement Planning'!$I$53-'Retirement Planning'!$I$54)-'Retirement Planning'!$J$48)*'Retirement Planning'!$I$49),('Retirement Planning'!$J$49-'Retirement Planning'!$J$48)*'Retirement Planning'!$I$49)+MIN(((SUM(Z467:Z478)-'Retirement Planning'!$I$53-'Retirement Planning'!$I$54))*'Retirement Planning'!$I$48,('Retirement Planning'!$J$48)*'Retirement Planning'!$I$48))+(IF((SUM(Z467:Z478)-'Retirement Planning'!$I$54-'Retirement Planning'!$I$61)&gt;'Retirement Planning'!$J$59,(SUM(Z467:Z478)-'Retirement Planning'!$I$54-'Retirement Planning'!$I$61-'Retirement Planning'!$J$59)*'Retirement Planning'!$I$60+'Retirement Planning'!$K$59,IF((SUM(Z467:Z478)-'Retirement Planning'!$I$54-'Retirement Planning'!$I$61)&gt;'Retirement Planning'!$J$58,(SUM(Z467:Z478)-'Retirement Planning'!$I$54-'Retirement Planning'!$I$61-'Retirement Planning'!$J$58)*'Retirement Planning'!$I$59+'Retirement Planning'!$K$58,IF((SUM(Z467:Z478)-'Retirement Planning'!$I$54-'Retirement Planning'!$I$61)&gt;'Retirement Planning'!$J$57,(SUM(Z467:Z478)-'Retirement Planning'!$I$54-'Retirement Planning'!$I$61-'Retirement Planning'!$J$57)*'Retirement Planning'!$I$58+'Retirement Planning'!$K$57,IF((SUM(Z467:Z478)-'Retirement Planning'!$I$54-'Retirement Planning'!$I$61)&gt;'Retirement Planning'!$J$56,(SUM(Z467:Z478)-'Retirement Planning'!$I$54-'Retirement Planning'!$I$61-'Retirement Planning'!$J$56)*'Retirement Planning'!$I$57+'Retirement Planning'!$K$56,(SUM(Z467:Z478)-'Retirement Planning'!$I$54-'Retirement Planning'!$I$61)*'Retirement Planning'!$I$56))))))/12,AA478)</f>
        <v>3598.4674519361197</v>
      </c>
      <c r="AB479" s="104">
        <f t="shared" ca="1" si="193"/>
        <v>0.25844705221664188</v>
      </c>
      <c r="AC479" s="7">
        <f>IF(B479&lt;65,'Retirement Planning'!$J$28,0)</f>
        <v>0</v>
      </c>
      <c r="AD479" s="7">
        <f>IF(B479&lt;65,'Retirement Planning'!$J$29/12,0)</f>
        <v>0</v>
      </c>
      <c r="AE479" s="22">
        <f>'Retirement Planning'!$J$31/12</f>
        <v>58.333333333333336</v>
      </c>
      <c r="AF479" s="22">
        <f>'Retirement Planning'!$J$32/12</f>
        <v>66.666666666666671</v>
      </c>
      <c r="AG479" s="7">
        <f>IF($B479&gt;64.9,'Retirement Planning'!$J$39/12,0)</f>
        <v>183.33333333333334</v>
      </c>
      <c r="AH479" s="7">
        <f>IF($B479&gt;64.9,'Retirement Planning'!$J$40/12,0)</f>
        <v>258.33333333333331</v>
      </c>
      <c r="AI479" s="7">
        <f>IF($B479&gt;64.9,'Retirement Planning'!$J$41/12,0)</f>
        <v>558.33333333333337</v>
      </c>
      <c r="AJ479" s="7">
        <f t="shared" ca="1" si="203"/>
        <v>316.66666666666663</v>
      </c>
      <c r="AK479" s="3" t="str">
        <f t="shared" ca="1" si="190"/>
        <v>N/A</v>
      </c>
      <c r="AL479" s="6" t="str">
        <f t="shared" ca="1" si="191"/>
        <v>N/A</v>
      </c>
      <c r="AM479" s="7">
        <f t="shared" ca="1" si="204"/>
        <v>-2.2737367544323206E-13</v>
      </c>
      <c r="AN479" s="7">
        <f t="shared" ca="1" si="205"/>
        <v>24582.992631892157</v>
      </c>
      <c r="AO479" s="7">
        <f t="shared" si="206"/>
        <v>1125</v>
      </c>
    </row>
    <row r="480" spans="1:41" x14ac:dyDescent="0.2">
      <c r="A480">
        <f t="shared" si="207"/>
        <v>50</v>
      </c>
      <c r="B480" s="5">
        <f t="shared" si="208"/>
        <v>95.5</v>
      </c>
      <c r="C480" s="56">
        <f t="shared" si="209"/>
        <v>60723</v>
      </c>
      <c r="D480" s="57">
        <f ca="1">IF(AND(B479&lt;59.5,OR(B480&gt;59.5,B480=59.5)),(D479-E479+J479-K479)*(1+'Retirement Planning'!$J$23/12),(D479-E479)*(1+'Retirement Planning'!$J$23/12))</f>
        <v>1479806.4202820854</v>
      </c>
      <c r="E480" s="58">
        <f t="shared" ca="1" si="198"/>
        <v>12182.972021221765</v>
      </c>
      <c r="F480" s="57">
        <f ca="1">IF(AND(OR(B480&gt;59.5,B480=59.5),B479&lt;59.5),(F479-G479+L479-M479+N479-O479)*(1+'Retirement Planning'!$J$23/12),(F479-G479)*(1+'Retirement Planning'!$J$23/12))</f>
        <v>0</v>
      </c>
      <c r="G480" s="58">
        <f ca="1">IF(AND($B$10&lt;55,B480&lt;59.5),'Retirement Planning'!$J$25,IF(OR(B480&gt;59.5,B480=59.5),MAX(0,MIN(F480,IF(D480&lt;2500,((Y480+AJ480+AA480))-X480,((Y480+AJ480+AA480)*'Retirement Planning'!$J$44)-X480))),0))</f>
        <v>0</v>
      </c>
      <c r="H480" s="255">
        <f ca="1">IF(MONTH(C480)=1,IF(B480&gt;69.5,F480/(INDEX('Retirement Planning'!D$1:D$264,(160+INT(B480))))/12,0),IF(F480=0,0,H479))</f>
        <v>0</v>
      </c>
      <c r="I480" s="262">
        <f t="shared" ca="1" si="199"/>
        <v>0</v>
      </c>
      <c r="J480" s="254">
        <f ca="1">IF(AND(B479&lt;59.5,OR(B480=59.5,B480&gt;59.5)),0,(J479-K479)*(1+'Retirement Planning'!$J$23/12))</f>
        <v>0</v>
      </c>
      <c r="K480" s="58">
        <f t="shared" ca="1" si="200"/>
        <v>0</v>
      </c>
      <c r="L480" s="57">
        <f>IF(AND(OR(B480&gt;59.5,B480=59.5),B479&lt;59.5),0,(L479-M479)*(1+'Retirement Planning'!$J$23/12))</f>
        <v>0</v>
      </c>
      <c r="M480" s="59">
        <f>IF(AND($B$10&lt;55,B480&lt;59.5),0,IF(B480&lt;59.5,MAX(0,MIN((($Y480+$AJ480+AA480)*'Retirement Planning'!$J$44)-$G480-$X480,L480)),0))</f>
        <v>0</v>
      </c>
      <c r="N480" s="57">
        <f ca="1">(N479-O479)*(1+'Retirement Planning'!$J$23/12)</f>
        <v>0</v>
      </c>
      <c r="O480" s="59">
        <f ca="1">IF(B480&gt;59.5,MAX(0,MIN((AA480+$Y480+$AJ480)*(IF(D480&lt;(MIN(E468:E479)+1),1,'Retirement Planning'!$J$44))-M480-$G480-$X480-(IF(D480&lt;(MIN(E468:E479)+1),D480,0)),N480)),0)</f>
        <v>0</v>
      </c>
      <c r="P480" s="57">
        <f t="shared" si="210"/>
        <v>0</v>
      </c>
      <c r="Q480" s="58">
        <f t="shared" si="211"/>
        <v>0</v>
      </c>
      <c r="R480" s="57">
        <f ca="1">(R479-S479-T479)*(1+'Retirement Planning'!$J$23/12)</f>
        <v>2544333.5277012591</v>
      </c>
      <c r="S480" s="58">
        <f t="shared" ca="1" si="212"/>
        <v>808.33333333333337</v>
      </c>
      <c r="T480" s="273">
        <f t="shared" ca="1" si="201"/>
        <v>-3.4106051316484809E-12</v>
      </c>
      <c r="U480" s="57">
        <f ca="1">(U479-V479)*(1+'Retirement Planning'!$J$23/12)</f>
        <v>1191972.0385328392</v>
      </c>
      <c r="V480" s="24">
        <f ca="1">IF(AND($B$10&lt;55,B480&lt;59.5),MIN(U480,MAX(0,(Y480+AA480+AJ480-G480)*'Retirement Planning'!$J$45)),IF(B480&lt;59.5,(MIN(U480,MAX(0,((Y480+AA480+AJ480)-G480-M480)*'Retirement Planning'!$J$45))),MIN(U480,MAX(0,(Y480+AA480+AJ480-G480-M480-K480-X480)*'Retirement Planning'!$J$45))))</f>
        <v>10378.087277337061</v>
      </c>
      <c r="W480" s="7">
        <f t="shared" ca="1" si="202"/>
        <v>5216111.9865161832</v>
      </c>
      <c r="X480" s="7">
        <f>(IF(B480&gt;'Retirement Planning'!$J$34,IF('Retirement Planning'!$J$34=70,'Retirement Planning'!$J$37/12,IF('Retirement Planning'!$J$34=67,'Retirement Planning'!$J$36/12,'Retirement Planning'!$J$35/12)),0))*'Retirement Planning'!$J$38</f>
        <v>1213.6000000000001</v>
      </c>
      <c r="Y480" s="7">
        <f ca="1">'Retirement Planning'!$F$35*((1+'Retirement Planning'!$J$24)^(YEAR('Projected Retirement Drawdown'!C480)-YEAR(TODAY())))</f>
        <v>19859.525179956036</v>
      </c>
      <c r="Z480" s="7">
        <f ca="1">G480+M480+O480+0.85*X480+V480*'Retirement Planning'!$J$46+T480</f>
        <v>6739.5080025353809</v>
      </c>
      <c r="AA480" s="7">
        <f ca="1">IF(MONTH(C480)=1,(((MIN(MAX(0,((SUM(Z468:Z479)-'Retirement Planning'!$I$53-'Retirement Planning'!$I$54)-'Retirement Planning'!$J$51)*'Retirement Planning'!$I$52))))+(MIN(MAX(0,((SUM(Z468:Z479)-'Retirement Planning'!$I$53-'Retirement Planning'!$I$54)-'Retirement Planning'!$J$50)*'Retirement Planning'!$I$51),('Retirement Planning'!$J$51-'Retirement Planning'!$J$50)*'Retirement Planning'!$I$51))+(MIN(MAX(0,((SUM(Z468:Z479)-'Retirement Planning'!$I$53-'Retirement Planning'!$I$54)-'Retirement Planning'!$J$49)*'Retirement Planning'!$I$50),('Retirement Planning'!$J$50-'Retirement Planning'!$J$49)*'Retirement Planning'!$I$50)+MIN(MAX(0,((SUM(Z468:Z479)-'Retirement Planning'!$I$53-'Retirement Planning'!$I$54)-'Retirement Planning'!$J$48)*'Retirement Planning'!$I$49),('Retirement Planning'!$J$49-'Retirement Planning'!$J$48)*'Retirement Planning'!$I$49)+MIN(((SUM(Z468:Z479)-'Retirement Planning'!$I$53-'Retirement Planning'!$I$54))*'Retirement Planning'!$I$48,('Retirement Planning'!$J$48)*'Retirement Planning'!$I$48))+(IF((SUM(Z468:Z479)-'Retirement Planning'!$I$54-'Retirement Planning'!$I$61)&gt;'Retirement Planning'!$J$59,(SUM(Z468:Z479)-'Retirement Planning'!$I$54-'Retirement Planning'!$I$61-'Retirement Planning'!$J$59)*'Retirement Planning'!$I$60+'Retirement Planning'!$K$59,IF((SUM(Z468:Z479)-'Retirement Planning'!$I$54-'Retirement Planning'!$I$61)&gt;'Retirement Planning'!$J$58,(SUM(Z468:Z479)-'Retirement Planning'!$I$54-'Retirement Planning'!$I$61-'Retirement Planning'!$J$58)*'Retirement Planning'!$I$59+'Retirement Planning'!$K$58,IF((SUM(Z468:Z479)-'Retirement Planning'!$I$54-'Retirement Planning'!$I$61)&gt;'Retirement Planning'!$J$57,(SUM(Z468:Z479)-'Retirement Planning'!$I$54-'Retirement Planning'!$I$61-'Retirement Planning'!$J$57)*'Retirement Planning'!$I$58+'Retirement Planning'!$K$57,IF((SUM(Z468:Z479)-'Retirement Planning'!$I$54-'Retirement Planning'!$I$61)&gt;'Retirement Planning'!$J$56,(SUM(Z468:Z479)-'Retirement Planning'!$I$54-'Retirement Planning'!$I$61-'Retirement Planning'!$J$56)*'Retirement Planning'!$I$57+'Retirement Planning'!$K$56,(SUM(Z468:Z479)-'Retirement Planning'!$I$54-'Retirement Planning'!$I$61)*'Retirement Planning'!$I$56))))))/12,AA479)</f>
        <v>3598.4674519361197</v>
      </c>
      <c r="AB480" s="104">
        <f t="shared" ca="1" si="193"/>
        <v>0.25844705221664188</v>
      </c>
      <c r="AC480" s="7">
        <f>IF(B480&lt;65,'Retirement Planning'!$J$28,0)</f>
        <v>0</v>
      </c>
      <c r="AD480" s="7">
        <f>IF(B480&lt;65,'Retirement Planning'!$J$29/12,0)</f>
        <v>0</v>
      </c>
      <c r="AE480" s="22">
        <f>'Retirement Planning'!$J$31/12</f>
        <v>58.333333333333336</v>
      </c>
      <c r="AF480" s="22">
        <f>'Retirement Planning'!$J$32/12</f>
        <v>66.666666666666671</v>
      </c>
      <c r="AG480" s="7">
        <f>IF($B480&gt;64.9,'Retirement Planning'!$J$39/12,0)</f>
        <v>183.33333333333334</v>
      </c>
      <c r="AH480" s="7">
        <f>IF($B480&gt;64.9,'Retirement Planning'!$J$40/12,0)</f>
        <v>258.33333333333331</v>
      </c>
      <c r="AI480" s="7">
        <f>IF($B480&gt;64.9,'Retirement Planning'!$J$41/12,0)</f>
        <v>558.33333333333337</v>
      </c>
      <c r="AJ480" s="7">
        <f t="shared" ca="1" si="203"/>
        <v>316.66666666666663</v>
      </c>
      <c r="AK480" s="3" t="str">
        <f t="shared" ca="1" si="190"/>
        <v>N/A</v>
      </c>
      <c r="AL480" s="6" t="str">
        <f t="shared" ca="1" si="191"/>
        <v>N/A</v>
      </c>
      <c r="AM480" s="7">
        <f t="shared" ca="1" si="204"/>
        <v>-2.2737367544323206E-13</v>
      </c>
      <c r="AN480" s="7">
        <f t="shared" ca="1" si="205"/>
        <v>24582.992631892157</v>
      </c>
      <c r="AO480" s="7">
        <f t="shared" si="206"/>
        <v>1125</v>
      </c>
    </row>
    <row r="481" spans="1:41" x14ac:dyDescent="0.2">
      <c r="A481">
        <f t="shared" si="207"/>
        <v>50</v>
      </c>
      <c r="B481" s="5">
        <f t="shared" si="208"/>
        <v>95.5</v>
      </c>
      <c r="C481" s="56">
        <f t="shared" si="209"/>
        <v>60753</v>
      </c>
      <c r="D481" s="57">
        <f ca="1">IF(AND(B480&lt;59.5,OR(B481&gt;59.5,B481=59.5)),(D480-E480+J480-K480)*(1+'Retirement Planning'!$J$23/12),(D480-E480)*(1+'Retirement Planning'!$J$23/12))</f>
        <v>1478019.1143527115</v>
      </c>
      <c r="E481" s="58">
        <f t="shared" ca="1" si="198"/>
        <v>12182.972021221765</v>
      </c>
      <c r="F481" s="57">
        <f ca="1">IF(AND(OR(B481&gt;59.5,B481=59.5),B480&lt;59.5),(F480-G480+L480-M480+N480-O480)*(1+'Retirement Planning'!$J$23/12),(F480-G480)*(1+'Retirement Planning'!$J$23/12))</f>
        <v>0</v>
      </c>
      <c r="G481" s="58">
        <f ca="1">IF(AND($B$10&lt;55,B481&lt;59.5),'Retirement Planning'!$J$25,IF(OR(B481&gt;59.5,B481=59.5),MAX(0,MIN(F481,IF(D481&lt;2500,((Y481+AJ481+AA481))-X481,((Y481+AJ481+AA481)*'Retirement Planning'!$J$44)-X481))),0))</f>
        <v>0</v>
      </c>
      <c r="H481" s="255">
        <f ca="1">IF(MONTH(C481)=1,IF(B481&gt;69.5,F481/(INDEX('Retirement Planning'!D$1:D$264,(160+INT(B481))))/12,0),IF(F481=0,0,H480))</f>
        <v>0</v>
      </c>
      <c r="I481" s="262">
        <f t="shared" ca="1" si="199"/>
        <v>0</v>
      </c>
      <c r="J481" s="254">
        <f ca="1">IF(AND(B480&lt;59.5,OR(B481=59.5,B481&gt;59.5)),0,(J480-K480)*(1+'Retirement Planning'!$J$23/12))</f>
        <v>0</v>
      </c>
      <c r="K481" s="58">
        <f t="shared" ca="1" si="200"/>
        <v>0</v>
      </c>
      <c r="L481" s="57">
        <f>IF(AND(OR(B481&gt;59.5,B481=59.5),B480&lt;59.5),0,(L480-M480)*(1+'Retirement Planning'!$J$23/12))</f>
        <v>0</v>
      </c>
      <c r="M481" s="59">
        <f>IF(AND($B$10&lt;55,B481&lt;59.5),0,IF(B481&lt;59.5,MAX(0,MIN((($Y481+$AJ481+AA481)*'Retirement Planning'!$J$44)-$G481-$X481,L481)),0))</f>
        <v>0</v>
      </c>
      <c r="N481" s="57">
        <f ca="1">(N480-O480)*(1+'Retirement Planning'!$J$23/12)</f>
        <v>0</v>
      </c>
      <c r="O481" s="59">
        <f ca="1">IF(B481&gt;59.5,MAX(0,MIN((AA481+$Y481+$AJ481)*(IF(D481&lt;(MIN(E469:E480)+1),1,'Retirement Planning'!$J$44))-M481-$G481-$X481-(IF(D481&lt;(MIN(E469:E480)+1),D481,0)),N481)),0)</f>
        <v>0</v>
      </c>
      <c r="P481" s="57">
        <f t="shared" si="210"/>
        <v>0</v>
      </c>
      <c r="Q481" s="58">
        <f t="shared" si="211"/>
        <v>0</v>
      </c>
      <c r="R481" s="57">
        <f ca="1">(R480-S480-T480)*(1+'Retirement Planning'!$J$23/12)</f>
        <v>2561541.8311613649</v>
      </c>
      <c r="S481" s="58">
        <f t="shared" ca="1" si="212"/>
        <v>808.33333333333337</v>
      </c>
      <c r="T481" s="273">
        <f t="shared" ca="1" si="201"/>
        <v>-3.4106051316484809E-12</v>
      </c>
      <c r="U481" s="57">
        <f ca="1">(U480-V480)*(1+'Retirement Planning'!$J$23/12)</f>
        <v>1189963.5750768953</v>
      </c>
      <c r="V481" s="24">
        <f ca="1">IF(AND($B$10&lt;55,B481&lt;59.5),MIN(U481,MAX(0,(Y481+AA481+AJ481-G481)*'Retirement Planning'!$J$45)),IF(B481&lt;59.5,(MIN(U481,MAX(0,((Y481+AA481+AJ481)-G481-M481)*'Retirement Planning'!$J$45))),MIN(U481,MAX(0,(Y481+AA481+AJ481-G481-M481-K481-X481)*'Retirement Planning'!$J$45))))</f>
        <v>10378.087277337061</v>
      </c>
      <c r="W481" s="7">
        <f t="shared" ca="1" si="202"/>
        <v>5229524.5205909722</v>
      </c>
      <c r="X481" s="7">
        <f>(IF(B481&gt;'Retirement Planning'!$J$34,IF('Retirement Planning'!$J$34=70,'Retirement Planning'!$J$37/12,IF('Retirement Planning'!$J$34=67,'Retirement Planning'!$J$36/12,'Retirement Planning'!$J$35/12)),0))*'Retirement Planning'!$J$38</f>
        <v>1213.6000000000001</v>
      </c>
      <c r="Y481" s="7">
        <f ca="1">'Retirement Planning'!$F$35*((1+'Retirement Planning'!$J$24)^(YEAR('Projected Retirement Drawdown'!C481)-YEAR(TODAY())))</f>
        <v>19859.525179956036</v>
      </c>
      <c r="Z481" s="7">
        <f ca="1">G481+M481+O481+0.85*X481+V481*'Retirement Planning'!$J$46+T481</f>
        <v>6739.5080025353809</v>
      </c>
      <c r="AA481" s="7">
        <f ca="1">IF(MONTH(C481)=1,(((MIN(MAX(0,((SUM(Z469:Z480)-'Retirement Planning'!$I$53-'Retirement Planning'!$I$54)-'Retirement Planning'!$J$51)*'Retirement Planning'!$I$52))))+(MIN(MAX(0,((SUM(Z469:Z480)-'Retirement Planning'!$I$53-'Retirement Planning'!$I$54)-'Retirement Planning'!$J$50)*'Retirement Planning'!$I$51),('Retirement Planning'!$J$51-'Retirement Planning'!$J$50)*'Retirement Planning'!$I$51))+(MIN(MAX(0,((SUM(Z469:Z480)-'Retirement Planning'!$I$53-'Retirement Planning'!$I$54)-'Retirement Planning'!$J$49)*'Retirement Planning'!$I$50),('Retirement Planning'!$J$50-'Retirement Planning'!$J$49)*'Retirement Planning'!$I$50)+MIN(MAX(0,((SUM(Z469:Z480)-'Retirement Planning'!$I$53-'Retirement Planning'!$I$54)-'Retirement Planning'!$J$48)*'Retirement Planning'!$I$49),('Retirement Planning'!$J$49-'Retirement Planning'!$J$48)*'Retirement Planning'!$I$49)+MIN(((SUM(Z469:Z480)-'Retirement Planning'!$I$53-'Retirement Planning'!$I$54))*'Retirement Planning'!$I$48,('Retirement Planning'!$J$48)*'Retirement Planning'!$I$48))+(IF((SUM(Z469:Z480)-'Retirement Planning'!$I$54-'Retirement Planning'!$I$61)&gt;'Retirement Planning'!$J$59,(SUM(Z469:Z480)-'Retirement Planning'!$I$54-'Retirement Planning'!$I$61-'Retirement Planning'!$J$59)*'Retirement Planning'!$I$60+'Retirement Planning'!$K$59,IF((SUM(Z469:Z480)-'Retirement Planning'!$I$54-'Retirement Planning'!$I$61)&gt;'Retirement Planning'!$J$58,(SUM(Z469:Z480)-'Retirement Planning'!$I$54-'Retirement Planning'!$I$61-'Retirement Planning'!$J$58)*'Retirement Planning'!$I$59+'Retirement Planning'!$K$58,IF((SUM(Z469:Z480)-'Retirement Planning'!$I$54-'Retirement Planning'!$I$61)&gt;'Retirement Planning'!$J$57,(SUM(Z469:Z480)-'Retirement Planning'!$I$54-'Retirement Planning'!$I$61-'Retirement Planning'!$J$57)*'Retirement Planning'!$I$58+'Retirement Planning'!$K$57,IF((SUM(Z469:Z480)-'Retirement Planning'!$I$54-'Retirement Planning'!$I$61)&gt;'Retirement Planning'!$J$56,(SUM(Z469:Z480)-'Retirement Planning'!$I$54-'Retirement Planning'!$I$61-'Retirement Planning'!$J$56)*'Retirement Planning'!$I$57+'Retirement Planning'!$K$56,(SUM(Z469:Z480)-'Retirement Planning'!$I$54-'Retirement Planning'!$I$61)*'Retirement Planning'!$I$56))))))/12,AA480)</f>
        <v>3598.4674519361197</v>
      </c>
      <c r="AB481" s="104">
        <f t="shared" ca="1" si="193"/>
        <v>0.25844705221664188</v>
      </c>
      <c r="AC481" s="7">
        <f>IF(B481&lt;65,'Retirement Planning'!$J$28,0)</f>
        <v>0</v>
      </c>
      <c r="AD481" s="7">
        <f>IF(B481&lt;65,'Retirement Planning'!$J$29/12,0)</f>
        <v>0</v>
      </c>
      <c r="AE481" s="22">
        <f>'Retirement Planning'!$J$31/12</f>
        <v>58.333333333333336</v>
      </c>
      <c r="AF481" s="22">
        <f>'Retirement Planning'!$J$32/12</f>
        <v>66.666666666666671</v>
      </c>
      <c r="AG481" s="7">
        <f>IF($B481&gt;64.9,'Retirement Planning'!$J$39/12,0)</f>
        <v>183.33333333333334</v>
      </c>
      <c r="AH481" s="7">
        <f>IF($B481&gt;64.9,'Retirement Planning'!$J$40/12,0)</f>
        <v>258.33333333333331</v>
      </c>
      <c r="AI481" s="7">
        <f>IF($B481&gt;64.9,'Retirement Planning'!$J$41/12,0)</f>
        <v>558.33333333333337</v>
      </c>
      <c r="AJ481" s="7">
        <f t="shared" ca="1" si="203"/>
        <v>316.66666666666663</v>
      </c>
      <c r="AK481" s="3" t="str">
        <f t="shared" ca="1" si="190"/>
        <v>N/A</v>
      </c>
      <c r="AL481" s="6" t="str">
        <f t="shared" ca="1" si="191"/>
        <v>N/A</v>
      </c>
      <c r="AM481" s="7">
        <f t="shared" ca="1" si="204"/>
        <v>-2.2737367544323206E-13</v>
      </c>
      <c r="AN481" s="7">
        <f t="shared" ca="1" si="205"/>
        <v>24582.992631892157</v>
      </c>
      <c r="AO481" s="7">
        <f t="shared" si="206"/>
        <v>1125</v>
      </c>
    </row>
    <row r="482" spans="1:41" x14ac:dyDescent="0.2">
      <c r="A482">
        <f t="shared" si="207"/>
        <v>50</v>
      </c>
      <c r="B482" s="5">
        <f t="shared" si="208"/>
        <v>95.6</v>
      </c>
      <c r="C482" s="56">
        <f t="shared" si="209"/>
        <v>60784</v>
      </c>
      <c r="D482" s="57">
        <f ca="1">IF(AND(B481&lt;59.5,OR(B482&gt;59.5,B482=59.5)),(D481-E481+J481-K481)*(1+'Retirement Planning'!$J$23/12),(D481-E481)*(1+'Retirement Planning'!$J$23/12))</f>
        <v>1476219.1483396713</v>
      </c>
      <c r="E482" s="58">
        <f t="shared" ca="1" si="198"/>
        <v>12182.972021221765</v>
      </c>
      <c r="F482" s="57">
        <f ca="1">IF(AND(OR(B482&gt;59.5,B482=59.5),B481&lt;59.5),(F481-G481+L481-M481+N481-O481)*(1+'Retirement Planning'!$J$23/12),(F481-G481)*(1+'Retirement Planning'!$J$23/12))</f>
        <v>0</v>
      </c>
      <c r="G482" s="58">
        <f ca="1">IF(AND($B$10&lt;55,B482&lt;59.5),'Retirement Planning'!$J$25,IF(OR(B482&gt;59.5,B482=59.5),MAX(0,MIN(F482,IF(D482&lt;2500,((Y482+AJ482+AA482))-X482,((Y482+AJ482+AA482)*'Retirement Planning'!$J$44)-X482))),0))</f>
        <v>0</v>
      </c>
      <c r="H482" s="255">
        <f ca="1">IF(MONTH(C482)=1,IF(B482&gt;69.5,F482/(INDEX('Retirement Planning'!D$1:D$264,(160+INT(B482))))/12,0),IF(F482=0,0,H481))</f>
        <v>0</v>
      </c>
      <c r="I482" s="262">
        <f t="shared" ca="1" si="199"/>
        <v>0</v>
      </c>
      <c r="J482" s="254">
        <f ca="1">IF(AND(B481&lt;59.5,OR(B482=59.5,B482&gt;59.5)),0,(J481-K481)*(1+'Retirement Planning'!$J$23/12))</f>
        <v>0</v>
      </c>
      <c r="K482" s="58">
        <f t="shared" ca="1" si="200"/>
        <v>0</v>
      </c>
      <c r="L482" s="57">
        <f>IF(AND(OR(B482&gt;59.5,B482=59.5),B481&lt;59.5),0,(L481-M481)*(1+'Retirement Planning'!$J$23/12))</f>
        <v>0</v>
      </c>
      <c r="M482" s="59">
        <f>IF(AND($B$10&lt;55,B482&lt;59.5),0,IF(B482&lt;59.5,MAX(0,MIN((($Y482+$AJ482+AA482)*'Retirement Planning'!$J$44)-$G482-$X482,L482)),0))</f>
        <v>0</v>
      </c>
      <c r="N482" s="57">
        <f ca="1">(N481-O481)*(1+'Retirement Planning'!$J$23/12)</f>
        <v>0</v>
      </c>
      <c r="O482" s="59">
        <f ca="1">IF(B482&gt;59.5,MAX(0,MIN((AA482+$Y482+$AJ482)*(IF(D482&lt;(MIN(E470:E481)+1),1,'Retirement Planning'!$J$44))-M482-$G482-$X482-(IF(D482&lt;(MIN(E470:E481)+1),D482,0)),N482)),0)</f>
        <v>0</v>
      </c>
      <c r="P482" s="57">
        <f t="shared" si="210"/>
        <v>0</v>
      </c>
      <c r="Q482" s="58">
        <f t="shared" si="211"/>
        <v>0</v>
      </c>
      <c r="R482" s="57">
        <f ca="1">(R481-S481-T481)*(1+'Retirement Planning'!$J$23/12)</f>
        <v>2578872.0267709801</v>
      </c>
      <c r="S482" s="58">
        <f t="shared" ca="1" si="212"/>
        <v>808.33333333333337</v>
      </c>
      <c r="T482" s="273">
        <f t="shared" ca="1" si="201"/>
        <v>-3.4106051316484809E-12</v>
      </c>
      <c r="U482" s="57">
        <f ca="1">(U481-V481)*(1+'Retirement Planning'!$J$23/12)</f>
        <v>1187940.8850048052</v>
      </c>
      <c r="V482" s="24">
        <f ca="1">IF(AND($B$10&lt;55,B482&lt;59.5),MIN(U482,MAX(0,(Y482+AA482+AJ482-G482)*'Retirement Planning'!$J$45)),IF(B482&lt;59.5,(MIN(U482,MAX(0,((Y482+AA482+AJ482)-G482-M482)*'Retirement Planning'!$J$45))),MIN(U482,MAX(0,(Y482+AA482+AJ482-G482-M482-K482-X482)*'Retirement Planning'!$J$45))))</f>
        <v>10378.087277337061</v>
      </c>
      <c r="W482" s="7">
        <f t="shared" ca="1" si="202"/>
        <v>5243032.0601154566</v>
      </c>
      <c r="X482" s="7">
        <f>(IF(B482&gt;'Retirement Planning'!$J$34,IF('Retirement Planning'!$J$34=70,'Retirement Planning'!$J$37/12,IF('Retirement Planning'!$J$34=67,'Retirement Planning'!$J$36/12,'Retirement Planning'!$J$35/12)),0))*'Retirement Planning'!$J$38</f>
        <v>1213.6000000000001</v>
      </c>
      <c r="Y482" s="7">
        <f ca="1">'Retirement Planning'!$F$35*((1+'Retirement Planning'!$J$24)^(YEAR('Projected Retirement Drawdown'!C482)-YEAR(TODAY())))</f>
        <v>19859.525179956036</v>
      </c>
      <c r="Z482" s="7">
        <f ca="1">G482+M482+O482+0.85*X482+V482*'Retirement Planning'!$J$46+T482</f>
        <v>6739.5080025353809</v>
      </c>
      <c r="AA482" s="7">
        <f ca="1">IF(MONTH(C482)=1,(((MIN(MAX(0,((SUM(Z470:Z481)-'Retirement Planning'!$I$53-'Retirement Planning'!$I$54)-'Retirement Planning'!$J$51)*'Retirement Planning'!$I$52))))+(MIN(MAX(0,((SUM(Z470:Z481)-'Retirement Planning'!$I$53-'Retirement Planning'!$I$54)-'Retirement Planning'!$J$50)*'Retirement Planning'!$I$51),('Retirement Planning'!$J$51-'Retirement Planning'!$J$50)*'Retirement Planning'!$I$51))+(MIN(MAX(0,((SUM(Z470:Z481)-'Retirement Planning'!$I$53-'Retirement Planning'!$I$54)-'Retirement Planning'!$J$49)*'Retirement Planning'!$I$50),('Retirement Planning'!$J$50-'Retirement Planning'!$J$49)*'Retirement Planning'!$I$50)+MIN(MAX(0,((SUM(Z470:Z481)-'Retirement Planning'!$I$53-'Retirement Planning'!$I$54)-'Retirement Planning'!$J$48)*'Retirement Planning'!$I$49),('Retirement Planning'!$J$49-'Retirement Planning'!$J$48)*'Retirement Planning'!$I$49)+MIN(((SUM(Z470:Z481)-'Retirement Planning'!$I$53-'Retirement Planning'!$I$54))*'Retirement Planning'!$I$48,('Retirement Planning'!$J$48)*'Retirement Planning'!$I$48))+(IF((SUM(Z470:Z481)-'Retirement Planning'!$I$54-'Retirement Planning'!$I$61)&gt;'Retirement Planning'!$J$59,(SUM(Z470:Z481)-'Retirement Planning'!$I$54-'Retirement Planning'!$I$61-'Retirement Planning'!$J$59)*'Retirement Planning'!$I$60+'Retirement Planning'!$K$59,IF((SUM(Z470:Z481)-'Retirement Planning'!$I$54-'Retirement Planning'!$I$61)&gt;'Retirement Planning'!$J$58,(SUM(Z470:Z481)-'Retirement Planning'!$I$54-'Retirement Planning'!$I$61-'Retirement Planning'!$J$58)*'Retirement Planning'!$I$59+'Retirement Planning'!$K$58,IF((SUM(Z470:Z481)-'Retirement Planning'!$I$54-'Retirement Planning'!$I$61)&gt;'Retirement Planning'!$J$57,(SUM(Z470:Z481)-'Retirement Planning'!$I$54-'Retirement Planning'!$I$61-'Retirement Planning'!$J$57)*'Retirement Planning'!$I$58+'Retirement Planning'!$K$57,IF((SUM(Z470:Z481)-'Retirement Planning'!$I$54-'Retirement Planning'!$I$61)&gt;'Retirement Planning'!$J$56,(SUM(Z470:Z481)-'Retirement Planning'!$I$54-'Retirement Planning'!$I$61-'Retirement Planning'!$J$56)*'Retirement Planning'!$I$57+'Retirement Planning'!$K$56,(SUM(Z470:Z481)-'Retirement Planning'!$I$54-'Retirement Planning'!$I$61)*'Retirement Planning'!$I$56))))))/12,AA481)</f>
        <v>3598.4674519361197</v>
      </c>
      <c r="AB482" s="104">
        <f t="shared" ca="1" si="193"/>
        <v>0.25844705221664188</v>
      </c>
      <c r="AC482" s="7">
        <f>IF(B482&lt;65,'Retirement Planning'!$J$28,0)</f>
        <v>0</v>
      </c>
      <c r="AD482" s="7">
        <f>IF(B482&lt;65,'Retirement Planning'!$J$29/12,0)</f>
        <v>0</v>
      </c>
      <c r="AE482" s="22">
        <f>'Retirement Planning'!$J$31/12</f>
        <v>58.333333333333336</v>
      </c>
      <c r="AF482" s="22">
        <f>'Retirement Planning'!$J$32/12</f>
        <v>66.666666666666671</v>
      </c>
      <c r="AG482" s="7">
        <f>IF($B482&gt;64.9,'Retirement Planning'!$J$39/12,0)</f>
        <v>183.33333333333334</v>
      </c>
      <c r="AH482" s="7">
        <f>IF($B482&gt;64.9,'Retirement Planning'!$J$40/12,0)</f>
        <v>258.33333333333331</v>
      </c>
      <c r="AI482" s="7">
        <f>IF($B482&gt;64.9,'Retirement Planning'!$J$41/12,0)</f>
        <v>558.33333333333337</v>
      </c>
      <c r="AJ482" s="7">
        <f t="shared" ca="1" si="203"/>
        <v>316.66666666666663</v>
      </c>
      <c r="AK482" s="3" t="str">
        <f t="shared" ca="1" si="190"/>
        <v>N/A</v>
      </c>
      <c r="AL482" s="6" t="str">
        <f t="shared" ca="1" si="191"/>
        <v>N/A</v>
      </c>
      <c r="AM482" s="7">
        <f t="shared" ca="1" si="204"/>
        <v>-2.2737367544323206E-13</v>
      </c>
      <c r="AN482" s="7">
        <f t="shared" ca="1" si="205"/>
        <v>24582.992631892157</v>
      </c>
      <c r="AO482" s="7">
        <f t="shared" si="206"/>
        <v>1125</v>
      </c>
    </row>
    <row r="483" spans="1:41" x14ac:dyDescent="0.2">
      <c r="A483">
        <f t="shared" si="207"/>
        <v>50</v>
      </c>
      <c r="B483" s="5">
        <f t="shared" si="208"/>
        <v>95.7</v>
      </c>
      <c r="C483" s="56">
        <f t="shared" si="209"/>
        <v>60814</v>
      </c>
      <c r="D483" s="57">
        <f ca="1">IF(AND(B482&lt;59.5,OR(B483&gt;59.5,B483=59.5)),(D482-E482+J482-K482)*(1+'Retirement Planning'!$J$23/12),(D482-E482)*(1+'Retirement Planning'!$J$23/12))</f>
        <v>1474406.4325673718</v>
      </c>
      <c r="E483" s="58">
        <f t="shared" ca="1" si="198"/>
        <v>12182.972021221765</v>
      </c>
      <c r="F483" s="57">
        <f ca="1">IF(AND(OR(B483&gt;59.5,B483=59.5),B482&lt;59.5),(F482-G482+L482-M482+N482-O482)*(1+'Retirement Planning'!$J$23/12),(F482-G482)*(1+'Retirement Planning'!$J$23/12))</f>
        <v>0</v>
      </c>
      <c r="G483" s="58">
        <f ca="1">IF(AND($B$10&lt;55,B483&lt;59.5),'Retirement Planning'!$J$25,IF(OR(B483&gt;59.5,B483=59.5),MAX(0,MIN(F483,IF(D483&lt;2500,((Y483+AJ483+AA483))-X483,((Y483+AJ483+AA483)*'Retirement Planning'!$J$44)-X483))),0))</f>
        <v>0</v>
      </c>
      <c r="H483" s="255">
        <f ca="1">IF(MONTH(C483)=1,IF(B483&gt;69.5,F483/(INDEX('Retirement Planning'!D$1:D$264,(160+INT(B483))))/12,0),IF(F483=0,0,H482))</f>
        <v>0</v>
      </c>
      <c r="I483" s="262">
        <f t="shared" ca="1" si="199"/>
        <v>0</v>
      </c>
      <c r="J483" s="254">
        <f ca="1">IF(AND(B482&lt;59.5,OR(B483=59.5,B483&gt;59.5)),0,(J482-K482)*(1+'Retirement Planning'!$J$23/12))</f>
        <v>0</v>
      </c>
      <c r="K483" s="58">
        <f t="shared" ca="1" si="200"/>
        <v>0</v>
      </c>
      <c r="L483" s="57">
        <f>IF(AND(OR(B483&gt;59.5,B483=59.5),B482&lt;59.5),0,(L482-M482)*(1+'Retirement Planning'!$J$23/12))</f>
        <v>0</v>
      </c>
      <c r="M483" s="59">
        <f>IF(AND($B$10&lt;55,B483&lt;59.5),0,IF(B483&lt;59.5,MAX(0,MIN((($Y483+$AJ483+AA483)*'Retirement Planning'!$J$44)-$G483-$X483,L483)),0))</f>
        <v>0</v>
      </c>
      <c r="N483" s="57">
        <f ca="1">(N482-O482)*(1+'Retirement Planning'!$J$23/12)</f>
        <v>0</v>
      </c>
      <c r="O483" s="59">
        <f ca="1">IF(B483&gt;59.5,MAX(0,MIN((AA483+$Y483+$AJ483)*(IF(D483&lt;(MIN(E471:E482)+1),1,'Retirement Planning'!$J$44))-M483-$G483-$X483-(IF(D483&lt;(MIN(E471:E482)+1),D483,0)),N483)),0)</f>
        <v>0</v>
      </c>
      <c r="P483" s="57">
        <f t="shared" si="210"/>
        <v>0</v>
      </c>
      <c r="Q483" s="58">
        <f t="shared" si="211"/>
        <v>0</v>
      </c>
      <c r="R483" s="57">
        <f ca="1">(R482-S482-T482)*(1+'Retirement Planning'!$J$23/12)</f>
        <v>2596324.9779328299</v>
      </c>
      <c r="S483" s="58">
        <f t="shared" ca="1" si="212"/>
        <v>808.33333333333337</v>
      </c>
      <c r="T483" s="273">
        <f t="shared" ca="1" si="201"/>
        <v>-3.4106051316484809E-12</v>
      </c>
      <c r="U483" s="57">
        <f ca="1">(U482-V482)*(1+'Retirement Planning'!$J$23/12)</f>
        <v>1185903.8675447043</v>
      </c>
      <c r="V483" s="24">
        <f ca="1">IF(AND($B$10&lt;55,B483&lt;59.5),MIN(U483,MAX(0,(Y483+AA483+AJ483-G483)*'Retirement Planning'!$J$45)),IF(B483&lt;59.5,(MIN(U483,MAX(0,((Y483+AA483+AJ483)-G483-M483)*'Retirement Planning'!$J$45))),MIN(U483,MAX(0,(Y483+AA483+AJ483-G483-M483-K483-X483)*'Retirement Planning'!$J$45))))</f>
        <v>10378.087277337061</v>
      </c>
      <c r="W483" s="7">
        <f t="shared" ca="1" si="202"/>
        <v>5256635.2780449055</v>
      </c>
      <c r="X483" s="7">
        <f>(IF(B483&gt;'Retirement Planning'!$J$34,IF('Retirement Planning'!$J$34=70,'Retirement Planning'!$J$37/12,IF('Retirement Planning'!$J$34=67,'Retirement Planning'!$J$36/12,'Retirement Planning'!$J$35/12)),0))*'Retirement Planning'!$J$38</f>
        <v>1213.6000000000001</v>
      </c>
      <c r="Y483" s="7">
        <f ca="1">'Retirement Planning'!$F$35*((1+'Retirement Planning'!$J$24)^(YEAR('Projected Retirement Drawdown'!C483)-YEAR(TODAY())))</f>
        <v>19859.525179956036</v>
      </c>
      <c r="Z483" s="7">
        <f ca="1">G483+M483+O483+0.85*X483+V483*'Retirement Planning'!$J$46+T483</f>
        <v>6739.5080025353809</v>
      </c>
      <c r="AA483" s="7">
        <f ca="1">IF(MONTH(C483)=1,(((MIN(MAX(0,((SUM(Z471:Z482)-'Retirement Planning'!$I$53-'Retirement Planning'!$I$54)-'Retirement Planning'!$J$51)*'Retirement Planning'!$I$52))))+(MIN(MAX(0,((SUM(Z471:Z482)-'Retirement Planning'!$I$53-'Retirement Planning'!$I$54)-'Retirement Planning'!$J$50)*'Retirement Planning'!$I$51),('Retirement Planning'!$J$51-'Retirement Planning'!$J$50)*'Retirement Planning'!$I$51))+(MIN(MAX(0,((SUM(Z471:Z482)-'Retirement Planning'!$I$53-'Retirement Planning'!$I$54)-'Retirement Planning'!$J$49)*'Retirement Planning'!$I$50),('Retirement Planning'!$J$50-'Retirement Planning'!$J$49)*'Retirement Planning'!$I$50)+MIN(MAX(0,((SUM(Z471:Z482)-'Retirement Planning'!$I$53-'Retirement Planning'!$I$54)-'Retirement Planning'!$J$48)*'Retirement Planning'!$I$49),('Retirement Planning'!$J$49-'Retirement Planning'!$J$48)*'Retirement Planning'!$I$49)+MIN(((SUM(Z471:Z482)-'Retirement Planning'!$I$53-'Retirement Planning'!$I$54))*'Retirement Planning'!$I$48,('Retirement Planning'!$J$48)*'Retirement Planning'!$I$48))+(IF((SUM(Z471:Z482)-'Retirement Planning'!$I$54-'Retirement Planning'!$I$61)&gt;'Retirement Planning'!$J$59,(SUM(Z471:Z482)-'Retirement Planning'!$I$54-'Retirement Planning'!$I$61-'Retirement Planning'!$J$59)*'Retirement Planning'!$I$60+'Retirement Planning'!$K$59,IF((SUM(Z471:Z482)-'Retirement Planning'!$I$54-'Retirement Planning'!$I$61)&gt;'Retirement Planning'!$J$58,(SUM(Z471:Z482)-'Retirement Planning'!$I$54-'Retirement Planning'!$I$61-'Retirement Planning'!$J$58)*'Retirement Planning'!$I$59+'Retirement Planning'!$K$58,IF((SUM(Z471:Z482)-'Retirement Planning'!$I$54-'Retirement Planning'!$I$61)&gt;'Retirement Planning'!$J$57,(SUM(Z471:Z482)-'Retirement Planning'!$I$54-'Retirement Planning'!$I$61-'Retirement Planning'!$J$57)*'Retirement Planning'!$I$58+'Retirement Planning'!$K$57,IF((SUM(Z471:Z482)-'Retirement Planning'!$I$54-'Retirement Planning'!$I$61)&gt;'Retirement Planning'!$J$56,(SUM(Z471:Z482)-'Retirement Planning'!$I$54-'Retirement Planning'!$I$61-'Retirement Planning'!$J$56)*'Retirement Planning'!$I$57+'Retirement Planning'!$K$56,(SUM(Z471:Z482)-'Retirement Planning'!$I$54-'Retirement Planning'!$I$61)*'Retirement Planning'!$I$56))))))/12,AA482)</f>
        <v>3598.4674519361197</v>
      </c>
      <c r="AB483" s="104">
        <f t="shared" ca="1" si="193"/>
        <v>0.25844705221664188</v>
      </c>
      <c r="AC483" s="7">
        <f>IF(B483&lt;65,'Retirement Planning'!$J$28,0)</f>
        <v>0</v>
      </c>
      <c r="AD483" s="7">
        <f>IF(B483&lt;65,'Retirement Planning'!$J$29/12,0)</f>
        <v>0</v>
      </c>
      <c r="AE483" s="22">
        <f>'Retirement Planning'!$J$31/12</f>
        <v>58.333333333333336</v>
      </c>
      <c r="AF483" s="22">
        <f>'Retirement Planning'!$J$32/12</f>
        <v>66.666666666666671</v>
      </c>
      <c r="AG483" s="7">
        <f>IF($B483&gt;64.9,'Retirement Planning'!$J$39/12,0)</f>
        <v>183.33333333333334</v>
      </c>
      <c r="AH483" s="7">
        <f>IF($B483&gt;64.9,'Retirement Planning'!$J$40/12,0)</f>
        <v>258.33333333333331</v>
      </c>
      <c r="AI483" s="7">
        <f>IF($B483&gt;64.9,'Retirement Planning'!$J$41/12,0)</f>
        <v>558.33333333333337</v>
      </c>
      <c r="AJ483" s="7">
        <f t="shared" ca="1" si="203"/>
        <v>316.66666666666663</v>
      </c>
      <c r="AK483" s="3" t="str">
        <f t="shared" ca="1" si="190"/>
        <v>N/A</v>
      </c>
      <c r="AL483" s="6" t="str">
        <f t="shared" ca="1" si="191"/>
        <v>N/A</v>
      </c>
      <c r="AM483" s="7">
        <f t="shared" ca="1" si="204"/>
        <v>-2.2737367544323206E-13</v>
      </c>
      <c r="AN483" s="7">
        <f t="shared" ca="1" si="205"/>
        <v>24582.992631892157</v>
      </c>
      <c r="AO483" s="7">
        <f t="shared" si="206"/>
        <v>1125</v>
      </c>
    </row>
    <row r="484" spans="1:41" x14ac:dyDescent="0.2">
      <c r="A484">
        <f t="shared" si="207"/>
        <v>50</v>
      </c>
      <c r="B484" s="5">
        <f t="shared" si="208"/>
        <v>95.8</v>
      </c>
      <c r="C484" s="56">
        <f t="shared" si="209"/>
        <v>60845</v>
      </c>
      <c r="D484" s="57">
        <f ca="1">IF(AND(B483&lt;59.5,OR(B484&gt;59.5,B484=59.5)),(D483-E483+J483-K483)*(1+'Retirement Planning'!$J$23/12),(D483-E483)*(1+'Retirement Planning'!$J$23/12))</f>
        <v>1472580.8767250185</v>
      </c>
      <c r="E484" s="58">
        <f t="shared" ca="1" si="198"/>
        <v>12182.972021221765</v>
      </c>
      <c r="F484" s="57">
        <f ca="1">IF(AND(OR(B484&gt;59.5,B484=59.5),B483&lt;59.5),(F483-G483+L483-M483+N483-O483)*(1+'Retirement Planning'!$J$23/12),(F483-G483)*(1+'Retirement Planning'!$J$23/12))</f>
        <v>0</v>
      </c>
      <c r="G484" s="58">
        <f ca="1">IF(AND($B$10&lt;55,B484&lt;59.5),'Retirement Planning'!$J$25,IF(OR(B484&gt;59.5,B484=59.5),MAX(0,MIN(F484,IF(D484&lt;2500,((Y484+AJ484+AA484))-X484,((Y484+AJ484+AA484)*'Retirement Planning'!$J$44)-X484))),0))</f>
        <v>0</v>
      </c>
      <c r="H484" s="255">
        <f ca="1">IF(MONTH(C484)=1,IF(B484&gt;69.5,F484/(INDEX('Retirement Planning'!D$1:D$264,(160+INT(B484))))/12,0),IF(F484=0,0,H483))</f>
        <v>0</v>
      </c>
      <c r="I484" s="262">
        <f t="shared" ca="1" si="199"/>
        <v>0</v>
      </c>
      <c r="J484" s="254">
        <f ca="1">IF(AND(B483&lt;59.5,OR(B484=59.5,B484&gt;59.5)),0,(J483-K483)*(1+'Retirement Planning'!$J$23/12))</f>
        <v>0</v>
      </c>
      <c r="K484" s="58">
        <f t="shared" ca="1" si="200"/>
        <v>0</v>
      </c>
      <c r="L484" s="57">
        <f>IF(AND(OR(B484&gt;59.5,B484=59.5),B483&lt;59.5),0,(L483-M483)*(1+'Retirement Planning'!$J$23/12))</f>
        <v>0</v>
      </c>
      <c r="M484" s="59">
        <f>IF(AND($B$10&lt;55,B484&lt;59.5),0,IF(B484&lt;59.5,MAX(0,MIN((($Y484+$AJ484+AA484)*'Retirement Planning'!$J$44)-$G484-$X484,L484)),0))</f>
        <v>0</v>
      </c>
      <c r="N484" s="57">
        <f ca="1">(N483-O483)*(1+'Retirement Planning'!$J$23/12)</f>
        <v>0</v>
      </c>
      <c r="O484" s="59">
        <f ca="1">IF(B484&gt;59.5,MAX(0,MIN((AA484+$Y484+$AJ484)*(IF(D484&lt;(MIN(E472:E483)+1),1,'Retirement Planning'!$J$44))-M484-$G484-$X484-(IF(D484&lt;(MIN(E472:E483)+1),D484,0)),N484)),0)</f>
        <v>0</v>
      </c>
      <c r="P484" s="57">
        <f t="shared" si="210"/>
        <v>0</v>
      </c>
      <c r="Q484" s="58">
        <f t="shared" si="211"/>
        <v>0</v>
      </c>
      <c r="R484" s="57">
        <f ca="1">(R483-S483-T483)*(1+'Retirement Planning'!$J$23/12)</f>
        <v>2613901.5541654094</v>
      </c>
      <c r="S484" s="58">
        <f t="shared" ca="1" si="212"/>
        <v>808.33333333333337</v>
      </c>
      <c r="T484" s="273">
        <f t="shared" ca="1" si="201"/>
        <v>-3.4106051316484809E-12</v>
      </c>
      <c r="U484" s="57">
        <f ca="1">(U483-V483)*(1+'Retirement Planning'!$J$23/12)</f>
        <v>1183852.4212109279</v>
      </c>
      <c r="V484" s="24">
        <f ca="1">IF(AND($B$10&lt;55,B484&lt;59.5),MIN(U484,MAX(0,(Y484+AA484+AJ484-G484)*'Retirement Planning'!$J$45)),IF(B484&lt;59.5,(MIN(U484,MAX(0,((Y484+AA484+AJ484)-G484-M484)*'Retirement Planning'!$J$45))),MIN(U484,MAX(0,(Y484+AA484+AJ484-G484-M484-K484-X484)*'Retirement Planning'!$J$45))))</f>
        <v>10378.087277337061</v>
      </c>
      <c r="W484" s="7">
        <f t="shared" ca="1" si="202"/>
        <v>5270334.8521013558</v>
      </c>
      <c r="X484" s="7">
        <f>(IF(B484&gt;'Retirement Planning'!$J$34,IF('Retirement Planning'!$J$34=70,'Retirement Planning'!$J$37/12,IF('Retirement Planning'!$J$34=67,'Retirement Planning'!$J$36/12,'Retirement Planning'!$J$35/12)),0))*'Retirement Planning'!$J$38</f>
        <v>1213.6000000000001</v>
      </c>
      <c r="Y484" s="7">
        <f ca="1">'Retirement Planning'!$F$35*((1+'Retirement Planning'!$J$24)^(YEAR('Projected Retirement Drawdown'!C484)-YEAR(TODAY())))</f>
        <v>19859.525179956036</v>
      </c>
      <c r="Z484" s="7">
        <f ca="1">G484+M484+O484+0.85*X484+V484*'Retirement Planning'!$J$46+T484</f>
        <v>6739.5080025353809</v>
      </c>
      <c r="AA484" s="7">
        <f ca="1">IF(MONTH(C484)=1,(((MIN(MAX(0,((SUM(Z472:Z483)-'Retirement Planning'!$I$53-'Retirement Planning'!$I$54)-'Retirement Planning'!$J$51)*'Retirement Planning'!$I$52))))+(MIN(MAX(0,((SUM(Z472:Z483)-'Retirement Planning'!$I$53-'Retirement Planning'!$I$54)-'Retirement Planning'!$J$50)*'Retirement Planning'!$I$51),('Retirement Planning'!$J$51-'Retirement Planning'!$J$50)*'Retirement Planning'!$I$51))+(MIN(MAX(0,((SUM(Z472:Z483)-'Retirement Planning'!$I$53-'Retirement Planning'!$I$54)-'Retirement Planning'!$J$49)*'Retirement Planning'!$I$50),('Retirement Planning'!$J$50-'Retirement Planning'!$J$49)*'Retirement Planning'!$I$50)+MIN(MAX(0,((SUM(Z472:Z483)-'Retirement Planning'!$I$53-'Retirement Planning'!$I$54)-'Retirement Planning'!$J$48)*'Retirement Planning'!$I$49),('Retirement Planning'!$J$49-'Retirement Planning'!$J$48)*'Retirement Planning'!$I$49)+MIN(((SUM(Z472:Z483)-'Retirement Planning'!$I$53-'Retirement Planning'!$I$54))*'Retirement Planning'!$I$48,('Retirement Planning'!$J$48)*'Retirement Planning'!$I$48))+(IF((SUM(Z472:Z483)-'Retirement Planning'!$I$54-'Retirement Planning'!$I$61)&gt;'Retirement Planning'!$J$59,(SUM(Z472:Z483)-'Retirement Planning'!$I$54-'Retirement Planning'!$I$61-'Retirement Planning'!$J$59)*'Retirement Planning'!$I$60+'Retirement Planning'!$K$59,IF((SUM(Z472:Z483)-'Retirement Planning'!$I$54-'Retirement Planning'!$I$61)&gt;'Retirement Planning'!$J$58,(SUM(Z472:Z483)-'Retirement Planning'!$I$54-'Retirement Planning'!$I$61-'Retirement Planning'!$J$58)*'Retirement Planning'!$I$59+'Retirement Planning'!$K$58,IF((SUM(Z472:Z483)-'Retirement Planning'!$I$54-'Retirement Planning'!$I$61)&gt;'Retirement Planning'!$J$57,(SUM(Z472:Z483)-'Retirement Planning'!$I$54-'Retirement Planning'!$I$61-'Retirement Planning'!$J$57)*'Retirement Planning'!$I$58+'Retirement Planning'!$K$57,IF((SUM(Z472:Z483)-'Retirement Planning'!$I$54-'Retirement Planning'!$I$61)&gt;'Retirement Planning'!$J$56,(SUM(Z472:Z483)-'Retirement Planning'!$I$54-'Retirement Planning'!$I$61-'Retirement Planning'!$J$56)*'Retirement Planning'!$I$57+'Retirement Planning'!$K$56,(SUM(Z472:Z483)-'Retirement Planning'!$I$54-'Retirement Planning'!$I$61)*'Retirement Planning'!$I$56))))))/12,AA483)</f>
        <v>3598.4674519361197</v>
      </c>
      <c r="AB484" s="104">
        <f t="shared" ca="1" si="193"/>
        <v>0.25844705221664188</v>
      </c>
      <c r="AC484" s="7">
        <f>IF(B484&lt;65,'Retirement Planning'!$J$28,0)</f>
        <v>0</v>
      </c>
      <c r="AD484" s="7">
        <f>IF(B484&lt;65,'Retirement Planning'!$J$29/12,0)</f>
        <v>0</v>
      </c>
      <c r="AE484" s="22">
        <f>'Retirement Planning'!$J$31/12</f>
        <v>58.333333333333336</v>
      </c>
      <c r="AF484" s="22">
        <f>'Retirement Planning'!$J$32/12</f>
        <v>66.666666666666671</v>
      </c>
      <c r="AG484" s="7">
        <f>IF($B484&gt;64.9,'Retirement Planning'!$J$39/12,0)</f>
        <v>183.33333333333334</v>
      </c>
      <c r="AH484" s="7">
        <f>IF($B484&gt;64.9,'Retirement Planning'!$J$40/12,0)</f>
        <v>258.33333333333331</v>
      </c>
      <c r="AI484" s="7">
        <f>IF($B484&gt;64.9,'Retirement Planning'!$J$41/12,0)</f>
        <v>558.33333333333337</v>
      </c>
      <c r="AJ484" s="7">
        <f t="shared" ca="1" si="203"/>
        <v>316.66666666666663</v>
      </c>
      <c r="AK484" s="3" t="str">
        <f t="shared" ca="1" si="190"/>
        <v>N/A</v>
      </c>
      <c r="AL484" s="6" t="str">
        <f t="shared" ca="1" si="191"/>
        <v>N/A</v>
      </c>
      <c r="AM484" s="7">
        <f t="shared" ca="1" si="204"/>
        <v>-2.2737367544323206E-13</v>
      </c>
      <c r="AN484" s="7">
        <f t="shared" ca="1" si="205"/>
        <v>24582.992631892157</v>
      </c>
      <c r="AO484" s="7">
        <f t="shared" si="206"/>
        <v>1125</v>
      </c>
    </row>
    <row r="485" spans="1:41" x14ac:dyDescent="0.2">
      <c r="A485">
        <f t="shared" si="207"/>
        <v>50</v>
      </c>
      <c r="B485" s="5">
        <f t="shared" si="208"/>
        <v>95.9</v>
      </c>
      <c r="C485" s="56">
        <f t="shared" si="209"/>
        <v>60876</v>
      </c>
      <c r="D485" s="57">
        <f ca="1">IF(AND(B484&lt;59.5,OR(B485&gt;59.5,B485=59.5)),(D484-E484+J484-K484)*(1+'Retirement Planning'!$J$23/12),(D484-E484)*(1+'Retirement Planning'!$J$23/12))</f>
        <v>1470742.3898621155</v>
      </c>
      <c r="E485" s="58">
        <f t="shared" ca="1" si="198"/>
        <v>12182.972021221765</v>
      </c>
      <c r="F485" s="57">
        <f ca="1">IF(AND(OR(B485&gt;59.5,B485=59.5),B484&lt;59.5),(F484-G484+L484-M484+N484-O484)*(1+'Retirement Planning'!$J$23/12),(F484-G484)*(1+'Retirement Planning'!$J$23/12))</f>
        <v>0</v>
      </c>
      <c r="G485" s="58">
        <f ca="1">IF(AND($B$10&lt;55,B485&lt;59.5),'Retirement Planning'!$J$25,IF(OR(B485&gt;59.5,B485=59.5),MAX(0,MIN(F485,IF(D485&lt;2500,((Y485+AJ485+AA485))-X485,((Y485+AJ485+AA485)*'Retirement Planning'!$J$44)-X485))),0))</f>
        <v>0</v>
      </c>
      <c r="H485" s="255">
        <f ca="1">IF(MONTH(C485)=1,IF(B485&gt;69.5,F485/(INDEX('Retirement Planning'!D$1:D$264,(160+INT(B485))))/12,0),IF(F485=0,0,H484))</f>
        <v>0</v>
      </c>
      <c r="I485" s="262">
        <f t="shared" ca="1" si="199"/>
        <v>0</v>
      </c>
      <c r="J485" s="254">
        <f ca="1">IF(AND(B484&lt;59.5,OR(B485=59.5,B485&gt;59.5)),0,(J484-K484)*(1+'Retirement Planning'!$J$23/12))</f>
        <v>0</v>
      </c>
      <c r="K485" s="58">
        <f t="shared" ca="1" si="200"/>
        <v>0</v>
      </c>
      <c r="L485" s="57">
        <f>IF(AND(OR(B485&gt;59.5,B485=59.5),B484&lt;59.5),0,(L484-M484)*(1+'Retirement Planning'!$J$23/12))</f>
        <v>0</v>
      </c>
      <c r="M485" s="59">
        <f>IF(AND($B$10&lt;55,B485&lt;59.5),0,IF(B485&lt;59.5,MAX(0,MIN((($Y485+$AJ485+AA485)*'Retirement Planning'!$J$44)-$G485-$X485,L485)),0))</f>
        <v>0</v>
      </c>
      <c r="N485" s="57">
        <f ca="1">(N484-O484)*(1+'Retirement Planning'!$J$23/12)</f>
        <v>0</v>
      </c>
      <c r="O485" s="59">
        <f ca="1">IF(B485&gt;59.5,MAX(0,MIN((AA485+$Y485+$AJ485)*(IF(D485&lt;(MIN(E473:E484)+1),1,'Retirement Planning'!$J$44))-M485-$G485-$X485-(IF(D485&lt;(MIN(E473:E484)+1),D485,0)),N485)),0)</f>
        <v>0</v>
      </c>
      <c r="P485" s="57">
        <f t="shared" si="210"/>
        <v>0</v>
      </c>
      <c r="Q485" s="58">
        <f t="shared" si="211"/>
        <v>0</v>
      </c>
      <c r="R485" s="57">
        <f ca="1">(R484-S484-T484)*(1+'Retirement Planning'!$J$23/12)</f>
        <v>2631602.6311463029</v>
      </c>
      <c r="S485" s="58">
        <f t="shared" ca="1" si="212"/>
        <v>808.33333333333337</v>
      </c>
      <c r="T485" s="273">
        <f t="shared" ca="1" si="201"/>
        <v>-3.4106051316484809E-12</v>
      </c>
      <c r="U485" s="57">
        <f ca="1">(U484-V484)*(1+'Retirement Planning'!$J$23/12)</f>
        <v>1181786.4437989539</v>
      </c>
      <c r="V485" s="24">
        <f ca="1">IF(AND($B$10&lt;55,B485&lt;59.5),MIN(U485,MAX(0,(Y485+AA485+AJ485-G485)*'Retirement Planning'!$J$45)),IF(B485&lt;59.5,(MIN(U485,MAX(0,((Y485+AA485+AJ485)-G485-M485)*'Retirement Planning'!$J$45))),MIN(U485,MAX(0,(Y485+AA485+AJ485-G485-M485-K485-X485)*'Retirement Planning'!$J$45))))</f>
        <v>10378.087277337061</v>
      </c>
      <c r="W485" s="7">
        <f t="shared" ca="1" si="202"/>
        <v>5284131.4648073725</v>
      </c>
      <c r="X485" s="7">
        <f>(IF(B485&gt;'Retirement Planning'!$J$34,IF('Retirement Planning'!$J$34=70,'Retirement Planning'!$J$37/12,IF('Retirement Planning'!$J$34=67,'Retirement Planning'!$J$36/12,'Retirement Planning'!$J$35/12)),0))*'Retirement Planning'!$J$38</f>
        <v>1213.6000000000001</v>
      </c>
      <c r="Y485" s="7">
        <f ca="1">'Retirement Planning'!$F$35*((1+'Retirement Planning'!$J$24)^(YEAR('Projected Retirement Drawdown'!C485)-YEAR(TODAY())))</f>
        <v>19859.525179956036</v>
      </c>
      <c r="Z485" s="7">
        <f ca="1">G485+M485+O485+0.85*X485+V485*'Retirement Planning'!$J$46+T485</f>
        <v>6739.5080025353809</v>
      </c>
      <c r="AA485" s="7">
        <f ca="1">IF(MONTH(C485)=1,(((MIN(MAX(0,((SUM(Z473:Z484)-'Retirement Planning'!$I$53-'Retirement Planning'!$I$54)-'Retirement Planning'!$J$51)*'Retirement Planning'!$I$52))))+(MIN(MAX(0,((SUM(Z473:Z484)-'Retirement Planning'!$I$53-'Retirement Planning'!$I$54)-'Retirement Planning'!$J$50)*'Retirement Planning'!$I$51),('Retirement Planning'!$J$51-'Retirement Planning'!$J$50)*'Retirement Planning'!$I$51))+(MIN(MAX(0,((SUM(Z473:Z484)-'Retirement Planning'!$I$53-'Retirement Planning'!$I$54)-'Retirement Planning'!$J$49)*'Retirement Planning'!$I$50),('Retirement Planning'!$J$50-'Retirement Planning'!$J$49)*'Retirement Planning'!$I$50)+MIN(MAX(0,((SUM(Z473:Z484)-'Retirement Planning'!$I$53-'Retirement Planning'!$I$54)-'Retirement Planning'!$J$48)*'Retirement Planning'!$I$49),('Retirement Planning'!$J$49-'Retirement Planning'!$J$48)*'Retirement Planning'!$I$49)+MIN(((SUM(Z473:Z484)-'Retirement Planning'!$I$53-'Retirement Planning'!$I$54))*'Retirement Planning'!$I$48,('Retirement Planning'!$J$48)*'Retirement Planning'!$I$48))+(IF((SUM(Z473:Z484)-'Retirement Planning'!$I$54-'Retirement Planning'!$I$61)&gt;'Retirement Planning'!$J$59,(SUM(Z473:Z484)-'Retirement Planning'!$I$54-'Retirement Planning'!$I$61-'Retirement Planning'!$J$59)*'Retirement Planning'!$I$60+'Retirement Planning'!$K$59,IF((SUM(Z473:Z484)-'Retirement Planning'!$I$54-'Retirement Planning'!$I$61)&gt;'Retirement Planning'!$J$58,(SUM(Z473:Z484)-'Retirement Planning'!$I$54-'Retirement Planning'!$I$61-'Retirement Planning'!$J$58)*'Retirement Planning'!$I$59+'Retirement Planning'!$K$58,IF((SUM(Z473:Z484)-'Retirement Planning'!$I$54-'Retirement Planning'!$I$61)&gt;'Retirement Planning'!$J$57,(SUM(Z473:Z484)-'Retirement Planning'!$I$54-'Retirement Planning'!$I$61-'Retirement Planning'!$J$57)*'Retirement Planning'!$I$58+'Retirement Planning'!$K$57,IF((SUM(Z473:Z484)-'Retirement Planning'!$I$54-'Retirement Planning'!$I$61)&gt;'Retirement Planning'!$J$56,(SUM(Z473:Z484)-'Retirement Planning'!$I$54-'Retirement Planning'!$I$61-'Retirement Planning'!$J$56)*'Retirement Planning'!$I$57+'Retirement Planning'!$K$56,(SUM(Z473:Z484)-'Retirement Planning'!$I$54-'Retirement Planning'!$I$61)*'Retirement Planning'!$I$56))))))/12,AA484)</f>
        <v>3598.4674519361197</v>
      </c>
      <c r="AB485" s="104">
        <f t="shared" ca="1" si="193"/>
        <v>0.25844705221664188</v>
      </c>
      <c r="AC485" s="7">
        <f>IF(B485&lt;65,'Retirement Planning'!$J$28,0)</f>
        <v>0</v>
      </c>
      <c r="AD485" s="7">
        <f>IF(B485&lt;65,'Retirement Planning'!$J$29/12,0)</f>
        <v>0</v>
      </c>
      <c r="AE485" s="22">
        <f>'Retirement Planning'!$J$31/12</f>
        <v>58.333333333333336</v>
      </c>
      <c r="AF485" s="22">
        <f>'Retirement Planning'!$J$32/12</f>
        <v>66.666666666666671</v>
      </c>
      <c r="AG485" s="7">
        <f>IF($B485&gt;64.9,'Retirement Planning'!$J$39/12,0)</f>
        <v>183.33333333333334</v>
      </c>
      <c r="AH485" s="7">
        <f>IF($B485&gt;64.9,'Retirement Planning'!$J$40/12,0)</f>
        <v>258.33333333333331</v>
      </c>
      <c r="AI485" s="7">
        <f>IF($B485&gt;64.9,'Retirement Planning'!$J$41/12,0)</f>
        <v>558.33333333333337</v>
      </c>
      <c r="AJ485" s="7">
        <f t="shared" ca="1" si="203"/>
        <v>316.66666666666663</v>
      </c>
      <c r="AK485" s="3" t="str">
        <f t="shared" ca="1" si="190"/>
        <v>N/A</v>
      </c>
      <c r="AL485" s="6" t="str">
        <f t="shared" ca="1" si="191"/>
        <v>N/A</v>
      </c>
      <c r="AM485" s="7">
        <f t="shared" ca="1" si="204"/>
        <v>-2.2737367544323206E-13</v>
      </c>
      <c r="AN485" s="7">
        <f t="shared" ca="1" si="205"/>
        <v>24582.992631892157</v>
      </c>
      <c r="AO485" s="7">
        <f t="shared" si="206"/>
        <v>1125</v>
      </c>
    </row>
    <row r="486" spans="1:41" x14ac:dyDescent="0.2">
      <c r="A486">
        <f t="shared" si="207"/>
        <v>50</v>
      </c>
      <c r="B486" s="5">
        <f t="shared" si="208"/>
        <v>96</v>
      </c>
      <c r="C486" s="56">
        <f t="shared" si="209"/>
        <v>60906</v>
      </c>
      <c r="D486" s="57">
        <f ca="1">IF(AND(B485&lt;59.5,OR(B486&gt;59.5,B486=59.5)),(D485-E485+J485-K485)*(1+'Retirement Planning'!$J$23/12),(D485-E485)*(1+'Retirement Planning'!$J$23/12))</f>
        <v>1468890.8803839334</v>
      </c>
      <c r="E486" s="58">
        <f t="shared" ca="1" si="198"/>
        <v>12182.972021221765</v>
      </c>
      <c r="F486" s="57">
        <f ca="1">IF(AND(OR(B486&gt;59.5,B486=59.5),B485&lt;59.5),(F485-G485+L485-M485+N485-O485)*(1+'Retirement Planning'!$J$23/12),(F485-G485)*(1+'Retirement Planning'!$J$23/12))</f>
        <v>0</v>
      </c>
      <c r="G486" s="58">
        <f ca="1">IF(AND($B$10&lt;55,B486&lt;59.5),'Retirement Planning'!$J$25,IF(OR(B486&gt;59.5,B486=59.5),MAX(0,MIN(F486,IF(D486&lt;2500,((Y486+AJ486+AA486))-X486,((Y486+AJ486+AA486)*'Retirement Planning'!$J$44)-X486))),0))</f>
        <v>0</v>
      </c>
      <c r="H486" s="255">
        <f ca="1">IF(MONTH(C486)=1,IF(B486&gt;69.5,F486/(INDEX('Retirement Planning'!D$1:D$264,(160+INT(B486))))/12,0),IF(F486=0,0,H485))</f>
        <v>0</v>
      </c>
      <c r="I486" s="262">
        <f t="shared" ca="1" si="199"/>
        <v>0</v>
      </c>
      <c r="J486" s="254">
        <f ca="1">IF(AND(B485&lt;59.5,OR(B486=59.5,B486&gt;59.5)),0,(J485-K485)*(1+'Retirement Planning'!$J$23/12))</f>
        <v>0</v>
      </c>
      <c r="K486" s="58">
        <f t="shared" ca="1" si="200"/>
        <v>0</v>
      </c>
      <c r="L486" s="57">
        <f>IF(AND(OR(B486&gt;59.5,B486=59.5),B485&lt;59.5),0,(L485-M485)*(1+'Retirement Planning'!$J$23/12))</f>
        <v>0</v>
      </c>
      <c r="M486" s="59">
        <f>IF(AND($B$10&lt;55,B486&lt;59.5),0,IF(B486&lt;59.5,MAX(0,MIN((($Y486+$AJ486+AA486)*'Retirement Planning'!$J$44)-$G486-$X486,L486)),0))</f>
        <v>0</v>
      </c>
      <c r="N486" s="57">
        <f ca="1">(N485-O485)*(1+'Retirement Planning'!$J$23/12)</f>
        <v>0</v>
      </c>
      <c r="O486" s="59">
        <f ca="1">IF(B486&gt;59.5,MAX(0,MIN((AA486+$Y486+$AJ486)*(IF(D486&lt;(MIN(E474:E485)+1),1,'Retirement Planning'!$J$44))-M486-$G486-$X486-(IF(D486&lt;(MIN(E474:E485)+1),D486,0)),N486)),0)</f>
        <v>0</v>
      </c>
      <c r="P486" s="57">
        <f t="shared" si="210"/>
        <v>0</v>
      </c>
      <c r="Q486" s="58">
        <f t="shared" si="211"/>
        <v>0</v>
      </c>
      <c r="R486" s="57">
        <f ca="1">(R485-S485-T485)*(1+'Retirement Planning'!$J$23/12)</f>
        <v>2649429.0907558114</v>
      </c>
      <c r="S486" s="58">
        <f t="shared" ca="1" si="212"/>
        <v>808.33333333333337</v>
      </c>
      <c r="T486" s="273">
        <f t="shared" ca="1" si="201"/>
        <v>-3.4106051316484809E-12</v>
      </c>
      <c r="U486" s="57">
        <f ca="1">(U485-V485)*(1+'Retirement Planning'!$J$23/12)</f>
        <v>1179705.8323803118</v>
      </c>
      <c r="V486" s="24">
        <f ca="1">IF(AND($B$10&lt;55,B486&lt;59.5),MIN(U486,MAX(0,(Y486+AA486+AJ486-G486)*'Retirement Planning'!$J$45)),IF(B486&lt;59.5,(MIN(U486,MAX(0,((Y486+AA486+AJ486)-G486-M486)*'Retirement Planning'!$J$45))),MIN(U486,MAX(0,(Y486+AA486+AJ486-G486-M486-K486-X486)*'Retirement Planning'!$J$45))))</f>
        <v>10378.087277337061</v>
      </c>
      <c r="W486" s="7">
        <f t="shared" ca="1" si="202"/>
        <v>5298025.8035200564</v>
      </c>
      <c r="X486" s="7">
        <f>(IF(B486&gt;'Retirement Planning'!$J$34,IF('Retirement Planning'!$J$34=70,'Retirement Planning'!$J$37/12,IF('Retirement Planning'!$J$34=67,'Retirement Planning'!$J$36/12,'Retirement Planning'!$J$35/12)),0))*'Retirement Planning'!$J$38</f>
        <v>1213.6000000000001</v>
      </c>
      <c r="Y486" s="7">
        <f ca="1">'Retirement Planning'!$F$35*((1+'Retirement Planning'!$J$24)^(YEAR('Projected Retirement Drawdown'!C486)-YEAR(TODAY())))</f>
        <v>19859.525179956036</v>
      </c>
      <c r="Z486" s="7">
        <f ca="1">G486+M486+O486+0.85*X486+V486*'Retirement Planning'!$J$46+T486</f>
        <v>6739.5080025353809</v>
      </c>
      <c r="AA486" s="7">
        <f ca="1">IF(MONTH(C486)=1,(((MIN(MAX(0,((SUM(Z474:Z485)-'Retirement Planning'!$I$53-'Retirement Planning'!$I$54)-'Retirement Planning'!$J$51)*'Retirement Planning'!$I$52))))+(MIN(MAX(0,((SUM(Z474:Z485)-'Retirement Planning'!$I$53-'Retirement Planning'!$I$54)-'Retirement Planning'!$J$50)*'Retirement Planning'!$I$51),('Retirement Planning'!$J$51-'Retirement Planning'!$J$50)*'Retirement Planning'!$I$51))+(MIN(MAX(0,((SUM(Z474:Z485)-'Retirement Planning'!$I$53-'Retirement Planning'!$I$54)-'Retirement Planning'!$J$49)*'Retirement Planning'!$I$50),('Retirement Planning'!$J$50-'Retirement Planning'!$J$49)*'Retirement Planning'!$I$50)+MIN(MAX(0,((SUM(Z474:Z485)-'Retirement Planning'!$I$53-'Retirement Planning'!$I$54)-'Retirement Planning'!$J$48)*'Retirement Planning'!$I$49),('Retirement Planning'!$J$49-'Retirement Planning'!$J$48)*'Retirement Planning'!$I$49)+MIN(((SUM(Z474:Z485)-'Retirement Planning'!$I$53-'Retirement Planning'!$I$54))*'Retirement Planning'!$I$48,('Retirement Planning'!$J$48)*'Retirement Planning'!$I$48))+(IF((SUM(Z474:Z485)-'Retirement Planning'!$I$54-'Retirement Planning'!$I$61)&gt;'Retirement Planning'!$J$59,(SUM(Z474:Z485)-'Retirement Planning'!$I$54-'Retirement Planning'!$I$61-'Retirement Planning'!$J$59)*'Retirement Planning'!$I$60+'Retirement Planning'!$K$59,IF((SUM(Z474:Z485)-'Retirement Planning'!$I$54-'Retirement Planning'!$I$61)&gt;'Retirement Planning'!$J$58,(SUM(Z474:Z485)-'Retirement Planning'!$I$54-'Retirement Planning'!$I$61-'Retirement Planning'!$J$58)*'Retirement Planning'!$I$59+'Retirement Planning'!$K$58,IF((SUM(Z474:Z485)-'Retirement Planning'!$I$54-'Retirement Planning'!$I$61)&gt;'Retirement Planning'!$J$57,(SUM(Z474:Z485)-'Retirement Planning'!$I$54-'Retirement Planning'!$I$61-'Retirement Planning'!$J$57)*'Retirement Planning'!$I$58+'Retirement Planning'!$K$57,IF((SUM(Z474:Z485)-'Retirement Planning'!$I$54-'Retirement Planning'!$I$61)&gt;'Retirement Planning'!$J$56,(SUM(Z474:Z485)-'Retirement Planning'!$I$54-'Retirement Planning'!$I$61-'Retirement Planning'!$J$56)*'Retirement Planning'!$I$57+'Retirement Planning'!$K$56,(SUM(Z474:Z485)-'Retirement Planning'!$I$54-'Retirement Planning'!$I$61)*'Retirement Planning'!$I$56))))))/12,AA485)</f>
        <v>3598.4674519361197</v>
      </c>
      <c r="AB486" s="104">
        <f t="shared" ca="1" si="193"/>
        <v>0.25844705221664188</v>
      </c>
      <c r="AC486" s="7">
        <f>IF(B486&lt;65,'Retirement Planning'!$J$28,0)</f>
        <v>0</v>
      </c>
      <c r="AD486" s="7">
        <f>IF(B486&lt;65,'Retirement Planning'!$J$29/12,0)</f>
        <v>0</v>
      </c>
      <c r="AE486" s="22">
        <f>'Retirement Planning'!$J$31/12</f>
        <v>58.333333333333336</v>
      </c>
      <c r="AF486" s="22">
        <f>'Retirement Planning'!$J$32/12</f>
        <v>66.666666666666671</v>
      </c>
      <c r="AG486" s="7">
        <f>IF($B486&gt;64.9,'Retirement Planning'!$J$39/12,0)</f>
        <v>183.33333333333334</v>
      </c>
      <c r="AH486" s="7">
        <f>IF($B486&gt;64.9,'Retirement Planning'!$J$40/12,0)</f>
        <v>258.33333333333331</v>
      </c>
      <c r="AI486" s="7">
        <f>IF($B486&gt;64.9,'Retirement Planning'!$J$41/12,0)</f>
        <v>558.33333333333337</v>
      </c>
      <c r="AJ486" s="7">
        <f t="shared" ca="1" si="203"/>
        <v>316.66666666666663</v>
      </c>
      <c r="AK486" s="3" t="str">
        <f t="shared" ca="1" si="190"/>
        <v>N/A</v>
      </c>
      <c r="AL486" s="6" t="str">
        <f t="shared" ca="1" si="191"/>
        <v>N/A</v>
      </c>
      <c r="AM486" s="7">
        <f t="shared" ca="1" si="204"/>
        <v>-2.2737367544323206E-13</v>
      </c>
      <c r="AN486" s="7">
        <f t="shared" ca="1" si="205"/>
        <v>24582.992631892157</v>
      </c>
      <c r="AO486" s="7">
        <f t="shared" si="206"/>
        <v>1125</v>
      </c>
    </row>
    <row r="487" spans="1:41" x14ac:dyDescent="0.2">
      <c r="A487">
        <f t="shared" si="207"/>
        <v>50</v>
      </c>
      <c r="B487" s="5">
        <f t="shared" si="208"/>
        <v>96</v>
      </c>
      <c r="C487" s="56">
        <f t="shared" si="209"/>
        <v>60937</v>
      </c>
      <c r="D487" s="57">
        <f ca="1">IF(AND(B486&lt;59.5,OR(B487&gt;59.5,B487=59.5)),(D486-E486+J486-K486)*(1+'Retirement Planning'!$J$23/12),(D486-E486)*(1+'Retirement Planning'!$J$23/12))</f>
        <v>1467026.2560469476</v>
      </c>
      <c r="E487" s="58">
        <f t="shared" ca="1" si="198"/>
        <v>12182.972021221765</v>
      </c>
      <c r="F487" s="57">
        <f ca="1">IF(AND(OR(B487&gt;59.5,B487=59.5),B486&lt;59.5),(F486-G486+L486-M486+N486-O486)*(1+'Retirement Planning'!$J$23/12),(F486-G486)*(1+'Retirement Planning'!$J$23/12))</f>
        <v>0</v>
      </c>
      <c r="G487" s="58">
        <f ca="1">IF(AND($B$10&lt;55,B487&lt;59.5),'Retirement Planning'!$J$25,IF(OR(B487&gt;59.5,B487=59.5),MAX(0,MIN(F487,IF(D487&lt;2500,((Y487+AJ487+AA487))-X487,((Y487+AJ487+AA487)*'Retirement Planning'!$J$44)-X487))),0))</f>
        <v>0</v>
      </c>
      <c r="H487" s="255">
        <f ca="1">IF(MONTH(C487)=1,IF(B487&gt;69.5,F487/(INDEX('Retirement Planning'!D$1:D$264,(160+INT(B487))))/12,0),IF(F487=0,0,H486))</f>
        <v>0</v>
      </c>
      <c r="I487" s="262">
        <f t="shared" ca="1" si="199"/>
        <v>0</v>
      </c>
      <c r="J487" s="254">
        <f ca="1">IF(AND(B486&lt;59.5,OR(B487=59.5,B487&gt;59.5)),0,(J486-K486)*(1+'Retirement Planning'!$J$23/12))</f>
        <v>0</v>
      </c>
      <c r="K487" s="58">
        <f t="shared" ca="1" si="200"/>
        <v>0</v>
      </c>
      <c r="L487" s="57">
        <f>IF(AND(OR(B487&gt;59.5,B487=59.5),B486&lt;59.5),0,(L486-M486)*(1+'Retirement Planning'!$J$23/12))</f>
        <v>0</v>
      </c>
      <c r="M487" s="59">
        <f>IF(AND($B$10&lt;55,B487&lt;59.5),0,IF(B487&lt;59.5,MAX(0,MIN((($Y487+$AJ487+AA487)*'Retirement Planning'!$J$44)-$G487-$X487,L487)),0))</f>
        <v>0</v>
      </c>
      <c r="N487" s="57">
        <f ca="1">(N486-O486)*(1+'Retirement Planning'!$J$23/12)</f>
        <v>0</v>
      </c>
      <c r="O487" s="59">
        <f ca="1">IF(B487&gt;59.5,MAX(0,MIN((AA487+$Y487+$AJ487)*(IF(D487&lt;(MIN(E475:E486)+1),1,'Retirement Planning'!$J$44))-M487-$G487-$X487-(IF(D487&lt;(MIN(E475:E486)+1),D487,0)),N487)),0)</f>
        <v>0</v>
      </c>
      <c r="P487" s="57">
        <f t="shared" si="210"/>
        <v>0</v>
      </c>
      <c r="Q487" s="58">
        <f t="shared" si="211"/>
        <v>0</v>
      </c>
      <c r="R487" s="57">
        <f ca="1">(R486-S486-T486)*(1+'Retirement Planning'!$J$23/12)</f>
        <v>2667381.8211208871</v>
      </c>
      <c r="S487" s="58">
        <f t="shared" ca="1" si="212"/>
        <v>808.33333333333337</v>
      </c>
      <c r="T487" s="273">
        <f t="shared" ca="1" si="201"/>
        <v>-3.4106051316484809E-12</v>
      </c>
      <c r="U487" s="57">
        <f ca="1">(U486-V486)*(1+'Retirement Planning'!$J$23/12)</f>
        <v>1177610.4832974542</v>
      </c>
      <c r="V487" s="24">
        <f ca="1">IF(AND($B$10&lt;55,B487&lt;59.5),MIN(U487,MAX(0,(Y487+AA487+AJ487-G487)*'Retirement Planning'!$J$45)),IF(B487&lt;59.5,(MIN(U487,MAX(0,((Y487+AA487+AJ487)-G487-M487)*'Retirement Planning'!$J$45))),MIN(U487,MAX(0,(Y487+AA487+AJ487-G487-M487-K487-X487)*'Retirement Planning'!$J$45))))</f>
        <v>10378.087277337061</v>
      </c>
      <c r="W487" s="7">
        <f t="shared" ca="1" si="202"/>
        <v>5312018.5604652893</v>
      </c>
      <c r="X487" s="7">
        <f>(IF(B487&gt;'Retirement Planning'!$J$34,IF('Retirement Planning'!$J$34=70,'Retirement Planning'!$J$37/12,IF('Retirement Planning'!$J$34=67,'Retirement Planning'!$J$36/12,'Retirement Planning'!$J$35/12)),0))*'Retirement Planning'!$J$38</f>
        <v>1213.6000000000001</v>
      </c>
      <c r="Y487" s="7">
        <f ca="1">'Retirement Planning'!$F$35*((1+'Retirement Planning'!$J$24)^(YEAR('Projected Retirement Drawdown'!C487)-YEAR(TODAY())))</f>
        <v>19859.525179956036</v>
      </c>
      <c r="Z487" s="7">
        <f ca="1">G487+M487+O487+0.85*X487+V487*'Retirement Planning'!$J$46+T487</f>
        <v>6739.5080025353809</v>
      </c>
      <c r="AA487" s="7">
        <f ca="1">IF(MONTH(C487)=1,(((MIN(MAX(0,((SUM(Z475:Z486)-'Retirement Planning'!$I$53-'Retirement Planning'!$I$54)-'Retirement Planning'!$J$51)*'Retirement Planning'!$I$52))))+(MIN(MAX(0,((SUM(Z475:Z486)-'Retirement Planning'!$I$53-'Retirement Planning'!$I$54)-'Retirement Planning'!$J$50)*'Retirement Planning'!$I$51),('Retirement Planning'!$J$51-'Retirement Planning'!$J$50)*'Retirement Planning'!$I$51))+(MIN(MAX(0,((SUM(Z475:Z486)-'Retirement Planning'!$I$53-'Retirement Planning'!$I$54)-'Retirement Planning'!$J$49)*'Retirement Planning'!$I$50),('Retirement Planning'!$J$50-'Retirement Planning'!$J$49)*'Retirement Planning'!$I$50)+MIN(MAX(0,((SUM(Z475:Z486)-'Retirement Planning'!$I$53-'Retirement Planning'!$I$54)-'Retirement Planning'!$J$48)*'Retirement Planning'!$I$49),('Retirement Planning'!$J$49-'Retirement Planning'!$J$48)*'Retirement Planning'!$I$49)+MIN(((SUM(Z475:Z486)-'Retirement Planning'!$I$53-'Retirement Planning'!$I$54))*'Retirement Planning'!$I$48,('Retirement Planning'!$J$48)*'Retirement Planning'!$I$48))+(IF((SUM(Z475:Z486)-'Retirement Planning'!$I$54-'Retirement Planning'!$I$61)&gt;'Retirement Planning'!$J$59,(SUM(Z475:Z486)-'Retirement Planning'!$I$54-'Retirement Planning'!$I$61-'Retirement Planning'!$J$59)*'Retirement Planning'!$I$60+'Retirement Planning'!$K$59,IF((SUM(Z475:Z486)-'Retirement Planning'!$I$54-'Retirement Planning'!$I$61)&gt;'Retirement Planning'!$J$58,(SUM(Z475:Z486)-'Retirement Planning'!$I$54-'Retirement Planning'!$I$61-'Retirement Planning'!$J$58)*'Retirement Planning'!$I$59+'Retirement Planning'!$K$58,IF((SUM(Z475:Z486)-'Retirement Planning'!$I$54-'Retirement Planning'!$I$61)&gt;'Retirement Planning'!$J$57,(SUM(Z475:Z486)-'Retirement Planning'!$I$54-'Retirement Planning'!$I$61-'Retirement Planning'!$J$57)*'Retirement Planning'!$I$58+'Retirement Planning'!$K$57,IF((SUM(Z475:Z486)-'Retirement Planning'!$I$54-'Retirement Planning'!$I$61)&gt;'Retirement Planning'!$J$56,(SUM(Z475:Z486)-'Retirement Planning'!$I$54-'Retirement Planning'!$I$61-'Retirement Planning'!$J$56)*'Retirement Planning'!$I$57+'Retirement Planning'!$K$56,(SUM(Z475:Z486)-'Retirement Planning'!$I$54-'Retirement Planning'!$I$61)*'Retirement Planning'!$I$56))))))/12,AA486)</f>
        <v>3598.4674519361197</v>
      </c>
      <c r="AB487" s="104">
        <f t="shared" ca="1" si="193"/>
        <v>0.25844705221664188</v>
      </c>
      <c r="AC487" s="7">
        <f>IF(B487&lt;65,'Retirement Planning'!$J$28,0)</f>
        <v>0</v>
      </c>
      <c r="AD487" s="7">
        <f>IF(B487&lt;65,'Retirement Planning'!$J$29/12,0)</f>
        <v>0</v>
      </c>
      <c r="AE487" s="22">
        <f>'Retirement Planning'!$J$31/12</f>
        <v>58.333333333333336</v>
      </c>
      <c r="AF487" s="22">
        <f>'Retirement Planning'!$J$32/12</f>
        <v>66.666666666666671</v>
      </c>
      <c r="AG487" s="7">
        <f>IF($B487&gt;64.9,'Retirement Planning'!$J$39/12,0)</f>
        <v>183.33333333333334</v>
      </c>
      <c r="AH487" s="7">
        <f>IF($B487&gt;64.9,'Retirement Planning'!$J$40/12,0)</f>
        <v>258.33333333333331</v>
      </c>
      <c r="AI487" s="7">
        <f>IF($B487&gt;64.9,'Retirement Planning'!$J$41/12,0)</f>
        <v>558.33333333333337</v>
      </c>
      <c r="AJ487" s="7">
        <f t="shared" ca="1" si="203"/>
        <v>316.66666666666663</v>
      </c>
      <c r="AK487" s="3" t="str">
        <f t="shared" ca="1" si="190"/>
        <v>N/A</v>
      </c>
      <c r="AL487" s="6" t="str">
        <f t="shared" ca="1" si="191"/>
        <v>N/A</v>
      </c>
      <c r="AM487" s="7">
        <f t="shared" ca="1" si="204"/>
        <v>-2.2737367544323206E-13</v>
      </c>
      <c r="AN487" s="7">
        <f t="shared" ca="1" si="205"/>
        <v>24582.992631892157</v>
      </c>
      <c r="AO487" s="7">
        <f t="shared" si="206"/>
        <v>1125</v>
      </c>
    </row>
    <row r="488" spans="1:41" x14ac:dyDescent="0.2">
      <c r="A488">
        <f t="shared" si="207"/>
        <v>50</v>
      </c>
      <c r="B488" s="5">
        <f t="shared" si="208"/>
        <v>96.1</v>
      </c>
      <c r="C488" s="56">
        <f t="shared" si="209"/>
        <v>60967</v>
      </c>
      <c r="D488" s="57">
        <f ca="1">IF(AND(B487&lt;59.5,OR(B488&gt;59.5,B488=59.5)),(D487-E487+J487-K487)*(1+'Retirement Planning'!$J$23/12),(D487-E487)*(1+'Retirement Planning'!$J$23/12))</f>
        <v>1465148.4239542414</v>
      </c>
      <c r="E488" s="58">
        <f t="shared" ca="1" si="198"/>
        <v>12182.972021221765</v>
      </c>
      <c r="F488" s="57">
        <f ca="1">IF(AND(OR(B488&gt;59.5,B488=59.5),B487&lt;59.5),(F487-G487+L487-M487+N487-O487)*(1+'Retirement Planning'!$J$23/12),(F487-G487)*(1+'Retirement Planning'!$J$23/12))</f>
        <v>0</v>
      </c>
      <c r="G488" s="58">
        <f ca="1">IF(AND($B$10&lt;55,B488&lt;59.5),'Retirement Planning'!$J$25,IF(OR(B488&gt;59.5,B488=59.5),MAX(0,MIN(F488,IF(D488&lt;2500,((Y488+AJ488+AA488))-X488,((Y488+AJ488+AA488)*'Retirement Planning'!$J$44)-X488))),0))</f>
        <v>0</v>
      </c>
      <c r="H488" s="255">
        <f ca="1">IF(MONTH(C488)=1,IF(B488&gt;69.5,F488/(INDEX('Retirement Planning'!D$1:D$264,(160+INT(B488))))/12,0),IF(F488=0,0,H487))</f>
        <v>0</v>
      </c>
      <c r="I488" s="262">
        <f t="shared" ca="1" si="199"/>
        <v>0</v>
      </c>
      <c r="J488" s="254">
        <f ca="1">IF(AND(B487&lt;59.5,OR(B488=59.5,B488&gt;59.5)),0,(J487-K487)*(1+'Retirement Planning'!$J$23/12))</f>
        <v>0</v>
      </c>
      <c r="K488" s="58">
        <f t="shared" ca="1" si="200"/>
        <v>0</v>
      </c>
      <c r="L488" s="57">
        <f>IF(AND(OR(B488&gt;59.5,B488=59.5),B487&lt;59.5),0,(L487-M487)*(1+'Retirement Planning'!$J$23/12))</f>
        <v>0</v>
      </c>
      <c r="M488" s="59">
        <f>IF(AND($B$10&lt;55,B488&lt;59.5),0,IF(B488&lt;59.5,MAX(0,MIN((($Y488+$AJ488+AA488)*'Retirement Planning'!$J$44)-$G488-$X488,L488)),0))</f>
        <v>0</v>
      </c>
      <c r="N488" s="57">
        <f ca="1">(N487-O487)*(1+'Retirement Planning'!$J$23/12)</f>
        <v>0</v>
      </c>
      <c r="O488" s="59">
        <f ca="1">IF(B488&gt;59.5,MAX(0,MIN((AA488+$Y488+$AJ488)*(IF(D488&lt;(MIN(E476:E487)+1),1,'Retirement Planning'!$J$44))-M488-$G488-$X488-(IF(D488&lt;(MIN(E476:E487)+1),D488,0)),N488)),0)</f>
        <v>0</v>
      </c>
      <c r="P488" s="57">
        <f t="shared" si="210"/>
        <v>0</v>
      </c>
      <c r="Q488" s="58">
        <f t="shared" si="211"/>
        <v>0</v>
      </c>
      <c r="R488" s="57">
        <f ca="1">(R487-S487-T487)*(1+'Retirement Planning'!$J$23/12)</f>
        <v>2685461.716659382</v>
      </c>
      <c r="S488" s="58">
        <f t="shared" ca="1" si="212"/>
        <v>808.33333333333337</v>
      </c>
      <c r="T488" s="273">
        <f t="shared" ca="1" si="201"/>
        <v>-3.4106051316484809E-12</v>
      </c>
      <c r="U488" s="57">
        <f ca="1">(U487-V487)*(1+'Retirement Planning'!$J$23/12)</f>
        <v>1175500.292158593</v>
      </c>
      <c r="V488" s="24">
        <f ca="1">IF(AND($B$10&lt;55,B488&lt;59.5),MIN(U488,MAX(0,(Y488+AA488+AJ488-G488)*'Retirement Planning'!$J$45)),IF(B488&lt;59.5,(MIN(U488,MAX(0,((Y488+AA488+AJ488)-G488-M488)*'Retirement Planning'!$J$45))),MIN(U488,MAX(0,(Y488+AA488+AJ488-G488-M488-K488-X488)*'Retirement Planning'!$J$45))))</f>
        <v>10378.087277337061</v>
      </c>
      <c r="W488" s="7">
        <f t="shared" ca="1" si="202"/>
        <v>5326110.4327722164</v>
      </c>
      <c r="X488" s="7">
        <f>(IF(B488&gt;'Retirement Planning'!$J$34,IF('Retirement Planning'!$J$34=70,'Retirement Planning'!$J$37/12,IF('Retirement Planning'!$J$34=67,'Retirement Planning'!$J$36/12,'Retirement Planning'!$J$35/12)),0))*'Retirement Planning'!$J$38</f>
        <v>1213.6000000000001</v>
      </c>
      <c r="Y488" s="7">
        <f ca="1">'Retirement Planning'!$F$35*((1+'Retirement Planning'!$J$24)^(YEAR('Projected Retirement Drawdown'!C488)-YEAR(TODAY())))</f>
        <v>19859.525179956036</v>
      </c>
      <c r="Z488" s="7">
        <f ca="1">G488+M488+O488+0.85*X488+V488*'Retirement Planning'!$J$46+T488</f>
        <v>6739.5080025353809</v>
      </c>
      <c r="AA488" s="7">
        <f ca="1">IF(MONTH(C488)=1,(((MIN(MAX(0,((SUM(Z476:Z487)-'Retirement Planning'!$I$53-'Retirement Planning'!$I$54)-'Retirement Planning'!$J$51)*'Retirement Planning'!$I$52))))+(MIN(MAX(0,((SUM(Z476:Z487)-'Retirement Planning'!$I$53-'Retirement Planning'!$I$54)-'Retirement Planning'!$J$50)*'Retirement Planning'!$I$51),('Retirement Planning'!$J$51-'Retirement Planning'!$J$50)*'Retirement Planning'!$I$51))+(MIN(MAX(0,((SUM(Z476:Z487)-'Retirement Planning'!$I$53-'Retirement Planning'!$I$54)-'Retirement Planning'!$J$49)*'Retirement Planning'!$I$50),('Retirement Planning'!$J$50-'Retirement Planning'!$J$49)*'Retirement Planning'!$I$50)+MIN(MAX(0,((SUM(Z476:Z487)-'Retirement Planning'!$I$53-'Retirement Planning'!$I$54)-'Retirement Planning'!$J$48)*'Retirement Planning'!$I$49),('Retirement Planning'!$J$49-'Retirement Planning'!$J$48)*'Retirement Planning'!$I$49)+MIN(((SUM(Z476:Z487)-'Retirement Planning'!$I$53-'Retirement Planning'!$I$54))*'Retirement Planning'!$I$48,('Retirement Planning'!$J$48)*'Retirement Planning'!$I$48))+(IF((SUM(Z476:Z487)-'Retirement Planning'!$I$54-'Retirement Planning'!$I$61)&gt;'Retirement Planning'!$J$59,(SUM(Z476:Z487)-'Retirement Planning'!$I$54-'Retirement Planning'!$I$61-'Retirement Planning'!$J$59)*'Retirement Planning'!$I$60+'Retirement Planning'!$K$59,IF((SUM(Z476:Z487)-'Retirement Planning'!$I$54-'Retirement Planning'!$I$61)&gt;'Retirement Planning'!$J$58,(SUM(Z476:Z487)-'Retirement Planning'!$I$54-'Retirement Planning'!$I$61-'Retirement Planning'!$J$58)*'Retirement Planning'!$I$59+'Retirement Planning'!$K$58,IF((SUM(Z476:Z487)-'Retirement Planning'!$I$54-'Retirement Planning'!$I$61)&gt;'Retirement Planning'!$J$57,(SUM(Z476:Z487)-'Retirement Planning'!$I$54-'Retirement Planning'!$I$61-'Retirement Planning'!$J$57)*'Retirement Planning'!$I$58+'Retirement Planning'!$K$57,IF((SUM(Z476:Z487)-'Retirement Planning'!$I$54-'Retirement Planning'!$I$61)&gt;'Retirement Planning'!$J$56,(SUM(Z476:Z487)-'Retirement Planning'!$I$54-'Retirement Planning'!$I$61-'Retirement Planning'!$J$56)*'Retirement Planning'!$I$57+'Retirement Planning'!$K$56,(SUM(Z476:Z487)-'Retirement Planning'!$I$54-'Retirement Planning'!$I$61)*'Retirement Planning'!$I$56))))))/12,AA487)</f>
        <v>3598.4674519361197</v>
      </c>
      <c r="AB488" s="104">
        <f t="shared" ca="1" si="193"/>
        <v>0.25844705221664188</v>
      </c>
      <c r="AC488" s="7">
        <f>IF(B488&lt;65,'Retirement Planning'!$J$28,0)</f>
        <v>0</v>
      </c>
      <c r="AD488" s="7">
        <f>IF(B488&lt;65,'Retirement Planning'!$J$29/12,0)</f>
        <v>0</v>
      </c>
      <c r="AE488" s="22">
        <f>'Retirement Planning'!$J$31/12</f>
        <v>58.333333333333336</v>
      </c>
      <c r="AF488" s="22">
        <f>'Retirement Planning'!$J$32/12</f>
        <v>66.666666666666671</v>
      </c>
      <c r="AG488" s="7">
        <f>IF($B488&gt;64.9,'Retirement Planning'!$J$39/12,0)</f>
        <v>183.33333333333334</v>
      </c>
      <c r="AH488" s="7">
        <f>IF($B488&gt;64.9,'Retirement Planning'!$J$40/12,0)</f>
        <v>258.33333333333331</v>
      </c>
      <c r="AI488" s="7">
        <f>IF($B488&gt;64.9,'Retirement Planning'!$J$41/12,0)</f>
        <v>558.33333333333337</v>
      </c>
      <c r="AJ488" s="7">
        <f t="shared" ca="1" si="203"/>
        <v>316.66666666666663</v>
      </c>
      <c r="AK488" s="3" t="str">
        <f t="shared" ca="1" si="190"/>
        <v>N/A</v>
      </c>
      <c r="AL488" s="6" t="str">
        <f t="shared" ca="1" si="191"/>
        <v>N/A</v>
      </c>
      <c r="AM488" s="7">
        <f t="shared" ca="1" si="204"/>
        <v>-2.2737367544323206E-13</v>
      </c>
      <c r="AN488" s="7">
        <f t="shared" ca="1" si="205"/>
        <v>24582.992631892157</v>
      </c>
      <c r="AO488" s="7">
        <f t="shared" si="206"/>
        <v>1125</v>
      </c>
    </row>
    <row r="489" spans="1:41" x14ac:dyDescent="0.2">
      <c r="A489">
        <f t="shared" si="207"/>
        <v>50</v>
      </c>
      <c r="B489" s="5">
        <f t="shared" si="208"/>
        <v>96.2</v>
      </c>
      <c r="C489" s="56">
        <f t="shared" si="209"/>
        <v>60998</v>
      </c>
      <c r="D489" s="57">
        <f ca="1">IF(AND(B488&lt;59.5,OR(B489&gt;59.5,B489=59.5)),(D488-E488+J488-K488)*(1+'Retirement Planning'!$J$23/12),(D488-E488)*(1+'Retirement Planning'!$J$23/12))</f>
        <v>1463257.2905508787</v>
      </c>
      <c r="E489" s="58">
        <f t="shared" ca="1" si="198"/>
        <v>11333.475828645756</v>
      </c>
      <c r="F489" s="57">
        <f ca="1">IF(AND(OR(B489&gt;59.5,B489=59.5),B488&lt;59.5),(F488-G488+L488-M488+N488-O488)*(1+'Retirement Planning'!$J$23/12),(F488-G488)*(1+'Retirement Planning'!$J$23/12))</f>
        <v>0</v>
      </c>
      <c r="G489" s="58">
        <f ca="1">IF(AND($B$10&lt;55,B489&lt;59.5),'Retirement Planning'!$J$25,IF(OR(B489&gt;59.5,B489=59.5),MAX(0,MIN(F489,IF(D489&lt;2500,((Y489+AJ489+AA489))-X489,((Y489+AJ489+AA489)*'Retirement Planning'!$J$44)-X489))),0))</f>
        <v>0</v>
      </c>
      <c r="H489" s="255">
        <f ca="1">IF(MONTH(C489)=1,IF(B489&gt;69.5,F489/(INDEX('Retirement Planning'!D$1:D$264,(160+INT(B489))))/12,0),IF(F489=0,0,H488))</f>
        <v>0</v>
      </c>
      <c r="I489" s="262">
        <f t="shared" ca="1" si="199"/>
        <v>0</v>
      </c>
      <c r="J489" s="254">
        <f ca="1">IF(AND(B488&lt;59.5,OR(B489=59.5,B489&gt;59.5)),0,(J488-K488)*(1+'Retirement Planning'!$J$23/12))</f>
        <v>0</v>
      </c>
      <c r="K489" s="58">
        <f t="shared" ca="1" si="200"/>
        <v>0</v>
      </c>
      <c r="L489" s="57">
        <f>IF(AND(OR(B489&gt;59.5,B489=59.5),B488&lt;59.5),0,(L488-M488)*(1+'Retirement Planning'!$J$23/12))</f>
        <v>0</v>
      </c>
      <c r="M489" s="59">
        <f>IF(AND($B$10&lt;55,B489&lt;59.5),0,IF(B489&lt;59.5,MAX(0,MIN((($Y489+$AJ489+AA489)*'Retirement Planning'!$J$44)-$G489-$X489,L489)),0))</f>
        <v>0</v>
      </c>
      <c r="N489" s="57">
        <f ca="1">(N488-O488)*(1+'Retirement Planning'!$J$23/12)</f>
        <v>0</v>
      </c>
      <c r="O489" s="59">
        <f ca="1">IF(B489&gt;59.5,MAX(0,MIN((AA489+$Y489+$AJ489)*(IF(D489&lt;(MIN(E477:E488)+1),1,'Retirement Planning'!$J$44))-M489-$G489-$X489-(IF(D489&lt;(MIN(E477:E488)+1),D489,0)),N489)),0)</f>
        <v>0</v>
      </c>
      <c r="P489" s="57">
        <f t="shared" si="210"/>
        <v>0</v>
      </c>
      <c r="Q489" s="58">
        <f t="shared" si="211"/>
        <v>0</v>
      </c>
      <c r="R489" s="57">
        <f ca="1">(R488-S488-T488)*(1+'Retirement Planning'!$J$23/12)</f>
        <v>2703669.678124608</v>
      </c>
      <c r="S489" s="58">
        <f t="shared" ca="1" si="212"/>
        <v>808.33333333333337</v>
      </c>
      <c r="T489" s="273">
        <f t="shared" ca="1" si="201"/>
        <v>-3.4106051316484809E-12</v>
      </c>
      <c r="U489" s="57">
        <f ca="1">(U488-V488)*(1+'Retirement Planning'!$J$23/12)</f>
        <v>1173375.1538324982</v>
      </c>
      <c r="V489" s="24">
        <f ca="1">IF(AND($B$10&lt;55,B489&lt;59.5),MIN(U489,MAX(0,(Y489+AA489+AJ489-G489)*'Retirement Planning'!$J$45)),IF(B489&lt;59.5,(MIN(U489,MAX(0,((Y489+AA489+AJ489)-G489-M489)*'Retirement Planning'!$J$45))),MIN(U489,MAX(0,(Y489+AA489+AJ489-G489-M489-K489-X489)*'Retirement Planning'!$J$45))))</f>
        <v>9654.442372550091</v>
      </c>
      <c r="W489" s="7">
        <f t="shared" ca="1" si="202"/>
        <v>5340302.1225079847</v>
      </c>
      <c r="X489" s="7">
        <f>(IF(B489&gt;'Retirement Planning'!$J$34,IF('Retirement Planning'!$J$34=70,'Retirement Planning'!$J$37/12,IF('Retirement Planning'!$J$34=67,'Retirement Planning'!$J$36/12,'Retirement Planning'!$J$35/12)),0))*'Retirement Planning'!$J$38</f>
        <v>1213.6000000000001</v>
      </c>
      <c r="Y489" s="7">
        <f ca="1">'Retirement Planning'!$F$35*((1+'Retirement Planning'!$J$24)^(YEAR('Projected Retirement Drawdown'!C489)-YEAR(TODAY())))</f>
        <v>20554.608561254499</v>
      </c>
      <c r="Z489" s="7">
        <f ca="1">G489+M489+O489+0.85*X489+V489*'Retirement Planning'!$J$46+T489</f>
        <v>6341.5033049025469</v>
      </c>
      <c r="AA489" s="7">
        <f ca="1">IF(MONTH(C489)=1,(((MIN(MAX(0,((SUM(Z477:Z488)-'Retirement Planning'!$I$53-'Retirement Planning'!$I$54)-'Retirement Planning'!$J$51)*'Retirement Planning'!$I$52))))+(MIN(MAX(0,((SUM(Z477:Z488)-'Retirement Planning'!$I$53-'Retirement Planning'!$I$54)-'Retirement Planning'!$J$50)*'Retirement Planning'!$I$51),('Retirement Planning'!$J$51-'Retirement Planning'!$J$50)*'Retirement Planning'!$I$51))+(MIN(MAX(0,((SUM(Z477:Z488)-'Retirement Planning'!$I$53-'Retirement Planning'!$I$54)-'Retirement Planning'!$J$49)*'Retirement Planning'!$I$50),('Retirement Planning'!$J$50-'Retirement Planning'!$J$49)*'Retirement Planning'!$I$50)+MIN(MAX(0,((SUM(Z477:Z488)-'Retirement Planning'!$I$53-'Retirement Planning'!$I$54)-'Retirement Planning'!$J$48)*'Retirement Planning'!$I$49),('Retirement Planning'!$J$49-'Retirement Planning'!$J$48)*'Retirement Planning'!$I$49)+MIN(((SUM(Z477:Z488)-'Retirement Planning'!$I$53-'Retirement Planning'!$I$54))*'Retirement Planning'!$I$48,('Retirement Planning'!$J$48)*'Retirement Planning'!$I$48))+(IF((SUM(Z477:Z488)-'Retirement Planning'!$I$54-'Retirement Planning'!$I$61)&gt;'Retirement Planning'!$J$59,(SUM(Z477:Z488)-'Retirement Planning'!$I$54-'Retirement Planning'!$I$61-'Retirement Planning'!$J$59)*'Retirement Planning'!$I$60+'Retirement Planning'!$K$59,IF((SUM(Z477:Z488)-'Retirement Planning'!$I$54-'Retirement Planning'!$I$61)&gt;'Retirement Planning'!$J$58,(SUM(Z477:Z488)-'Retirement Planning'!$I$54-'Retirement Planning'!$I$61-'Retirement Planning'!$J$58)*'Retirement Planning'!$I$59+'Retirement Planning'!$K$58,IF((SUM(Z477:Z488)-'Retirement Planning'!$I$54-'Retirement Planning'!$I$61)&gt;'Retirement Planning'!$J$57,(SUM(Z477:Z488)-'Retirement Planning'!$I$54-'Retirement Planning'!$I$61-'Retirement Planning'!$J$57)*'Retirement Planning'!$I$58+'Retirement Planning'!$K$57,IF((SUM(Z477:Z488)-'Retirement Planning'!$I$54-'Retirement Planning'!$I$61)&gt;'Retirement Planning'!$J$56,(SUM(Z477:Z488)-'Retirement Planning'!$I$54-'Retirement Planning'!$I$61-'Retirement Planning'!$J$56)*'Retirement Planning'!$I$57+'Retirement Planning'!$K$56,(SUM(Z477:Z488)-'Retirement Planning'!$I$54-'Retirement Planning'!$I$61)*'Retirement Planning'!$I$56))))))/12,AA488)</f>
        <v>1330.2429732746787</v>
      </c>
      <c r="AB489" s="104">
        <f t="shared" ref="AB489" ca="1" si="217">SUM(AA489:AA500)/SUM(Z477:Z488)</f>
        <v>0.19737983436984505</v>
      </c>
      <c r="AC489" s="7">
        <f>IF(B489&lt;65,'Retirement Planning'!$J$28,0)</f>
        <v>0</v>
      </c>
      <c r="AD489" s="7">
        <f>IF(B489&lt;65,'Retirement Planning'!$J$29/12,0)</f>
        <v>0</v>
      </c>
      <c r="AE489" s="22">
        <f>'Retirement Planning'!$J$31/12</f>
        <v>58.333333333333336</v>
      </c>
      <c r="AF489" s="22">
        <f>'Retirement Planning'!$J$32/12</f>
        <v>66.666666666666671</v>
      </c>
      <c r="AG489" s="7">
        <f>IF($B489&gt;64.9,'Retirement Planning'!$J$39/12,0)</f>
        <v>183.33333333333334</v>
      </c>
      <c r="AH489" s="7">
        <f>IF($B489&gt;64.9,'Retirement Planning'!$J$40/12,0)</f>
        <v>258.33333333333331</v>
      </c>
      <c r="AI489" s="7">
        <f>IF($B489&gt;64.9,'Retirement Planning'!$J$41/12,0)</f>
        <v>558.33333333333337</v>
      </c>
      <c r="AJ489" s="7">
        <f t="shared" ca="1" si="203"/>
        <v>316.66666666666663</v>
      </c>
      <c r="AK489" s="3" t="str">
        <f t="shared" ca="1" si="190"/>
        <v>N/A</v>
      </c>
      <c r="AL489" s="6" t="str">
        <f t="shared" ca="1" si="191"/>
        <v>N/A</v>
      </c>
      <c r="AM489" s="7">
        <f t="shared" ca="1" si="204"/>
        <v>-2.2737367544323206E-13</v>
      </c>
      <c r="AN489" s="7">
        <f t="shared" ca="1" si="205"/>
        <v>23009.851534529178</v>
      </c>
      <c r="AO489" s="7">
        <f t="shared" si="206"/>
        <v>1125</v>
      </c>
    </row>
    <row r="490" spans="1:41" x14ac:dyDescent="0.2">
      <c r="A490">
        <f t="shared" si="207"/>
        <v>50</v>
      </c>
      <c r="B490" s="5">
        <f t="shared" si="208"/>
        <v>96.3</v>
      </c>
      <c r="C490" s="56">
        <f t="shared" si="209"/>
        <v>61029</v>
      </c>
      <c r="D490" s="57">
        <f ca="1">IF(AND(B489&lt;59.5,OR(B490&gt;59.5,B490=59.5)),(D489-E489+J489-K489)*(1+'Retirement Planning'!$J$23/12),(D489-E489)*(1+'Retirement Planning'!$J$23/12))</f>
        <v>1462208.2750765155</v>
      </c>
      <c r="E490" s="58">
        <f t="shared" ca="1" si="198"/>
        <v>11333.475828645756</v>
      </c>
      <c r="F490" s="57">
        <f ca="1">IF(AND(OR(B490&gt;59.5,B490=59.5),B489&lt;59.5),(F489-G489+L489-M489+N489-O489)*(1+'Retirement Planning'!$J$23/12),(F489-G489)*(1+'Retirement Planning'!$J$23/12))</f>
        <v>0</v>
      </c>
      <c r="G490" s="58">
        <f ca="1">IF(AND($B$10&lt;55,B490&lt;59.5),'Retirement Planning'!$J$25,IF(OR(B490&gt;59.5,B490=59.5),MAX(0,MIN(F490,IF(D490&lt;2500,((Y490+AJ490+AA490))-X490,((Y490+AJ490+AA490)*'Retirement Planning'!$J$44)-X490))),0))</f>
        <v>0</v>
      </c>
      <c r="H490" s="255">
        <f ca="1">IF(MONTH(C490)=1,IF(B490&gt;69.5,F490/(INDEX('Retirement Planning'!D$1:D$264,(160+INT(B490))))/12,0),IF(F490=0,0,H489))</f>
        <v>0</v>
      </c>
      <c r="I490" s="262">
        <f t="shared" ca="1" si="199"/>
        <v>0</v>
      </c>
      <c r="J490" s="254">
        <f ca="1">IF(AND(B489&lt;59.5,OR(B490=59.5,B490&gt;59.5)),0,(J489-K489)*(1+'Retirement Planning'!$J$23/12))</f>
        <v>0</v>
      </c>
      <c r="K490" s="58">
        <f t="shared" ca="1" si="200"/>
        <v>0</v>
      </c>
      <c r="L490" s="57">
        <f>IF(AND(OR(B490&gt;59.5,B490=59.5),B489&lt;59.5),0,(L489-M489)*(1+'Retirement Planning'!$J$23/12))</f>
        <v>0</v>
      </c>
      <c r="M490" s="59">
        <f>IF(AND($B$10&lt;55,B490&lt;59.5),0,IF(B490&lt;59.5,MAX(0,MIN((($Y490+$AJ490+AA490)*'Retirement Planning'!$J$44)-$G490-$X490,L490)),0))</f>
        <v>0</v>
      </c>
      <c r="N490" s="57">
        <f ca="1">(N489-O489)*(1+'Retirement Planning'!$J$23/12)</f>
        <v>0</v>
      </c>
      <c r="O490" s="59">
        <f ca="1">IF(B490&gt;59.5,MAX(0,MIN((AA490+$Y490+$AJ490)*(IF(D490&lt;(MIN(E478:E489)+1),1,'Retirement Planning'!$J$44))-M490-$G490-$X490-(IF(D490&lt;(MIN(E478:E489)+1),D490,0)),N490)),0)</f>
        <v>0</v>
      </c>
      <c r="P490" s="57">
        <f t="shared" si="210"/>
        <v>0</v>
      </c>
      <c r="Q490" s="58">
        <f t="shared" si="211"/>
        <v>0</v>
      </c>
      <c r="R490" s="57">
        <f ca="1">(R489-S489-T489)*(1+'Retirement Planning'!$J$23/12)</f>
        <v>2722006.6126502128</v>
      </c>
      <c r="S490" s="58">
        <f t="shared" ca="1" si="212"/>
        <v>808.33333333333337</v>
      </c>
      <c r="T490" s="273">
        <f t="shared" ca="1" si="201"/>
        <v>-3.4106051316484809E-12</v>
      </c>
      <c r="U490" s="57">
        <f ca="1">(U489-V489)*(1+'Retirement Planning'!$J$23/12)</f>
        <v>1171963.7331661228</v>
      </c>
      <c r="V490" s="24">
        <f ca="1">IF(AND($B$10&lt;55,B490&lt;59.5),MIN(U490,MAX(0,(Y490+AA490+AJ490-G490)*'Retirement Planning'!$J$45)),IF(B490&lt;59.5,(MIN(U490,MAX(0,((Y490+AA490+AJ490)-G490-M490)*'Retirement Planning'!$J$45))),MIN(U490,MAX(0,(Y490+AA490+AJ490-G490-M490-K490-X490)*'Retirement Planning'!$J$45))))</f>
        <v>9654.442372550091</v>
      </c>
      <c r="W490" s="7">
        <f t="shared" ca="1" si="202"/>
        <v>5356178.6208928507</v>
      </c>
      <c r="X490" s="7">
        <f>(IF(B490&gt;'Retirement Planning'!$J$34,IF('Retirement Planning'!$J$34=70,'Retirement Planning'!$J$37/12,IF('Retirement Planning'!$J$34=67,'Retirement Planning'!$J$36/12,'Retirement Planning'!$J$35/12)),0))*'Retirement Planning'!$J$38</f>
        <v>1213.6000000000001</v>
      </c>
      <c r="Y490" s="7">
        <f ca="1">'Retirement Planning'!$F$35*((1+'Retirement Planning'!$J$24)^(YEAR('Projected Retirement Drawdown'!C490)-YEAR(TODAY())))</f>
        <v>20554.608561254499</v>
      </c>
      <c r="Z490" s="7">
        <f ca="1">G490+M490+O490+0.85*X490+V490*'Retirement Planning'!$J$46+T490</f>
        <v>6341.5033049025469</v>
      </c>
      <c r="AA490" s="7">
        <f ca="1">IF(MONTH(C490)=1,(((MIN(MAX(0,((SUM(Z478:Z489)-'Retirement Planning'!$I$53-'Retirement Planning'!$I$54)-'Retirement Planning'!$J$51)*'Retirement Planning'!$I$52))))+(MIN(MAX(0,((SUM(Z478:Z489)-'Retirement Planning'!$I$53-'Retirement Planning'!$I$54)-'Retirement Planning'!$J$50)*'Retirement Planning'!$I$51),('Retirement Planning'!$J$51-'Retirement Planning'!$J$50)*'Retirement Planning'!$I$51))+(MIN(MAX(0,((SUM(Z478:Z489)-'Retirement Planning'!$I$53-'Retirement Planning'!$I$54)-'Retirement Planning'!$J$49)*'Retirement Planning'!$I$50),('Retirement Planning'!$J$50-'Retirement Planning'!$J$49)*'Retirement Planning'!$I$50)+MIN(MAX(0,((SUM(Z478:Z489)-'Retirement Planning'!$I$53-'Retirement Planning'!$I$54)-'Retirement Planning'!$J$48)*'Retirement Planning'!$I$49),('Retirement Planning'!$J$49-'Retirement Planning'!$J$48)*'Retirement Planning'!$I$49)+MIN(((SUM(Z478:Z489)-'Retirement Planning'!$I$53-'Retirement Planning'!$I$54))*'Retirement Planning'!$I$48,('Retirement Planning'!$J$48)*'Retirement Planning'!$I$48))+(IF((SUM(Z478:Z489)-'Retirement Planning'!$I$54-'Retirement Planning'!$I$61)&gt;'Retirement Planning'!$J$59,(SUM(Z478:Z489)-'Retirement Planning'!$I$54-'Retirement Planning'!$I$61-'Retirement Planning'!$J$59)*'Retirement Planning'!$I$60+'Retirement Planning'!$K$59,IF((SUM(Z478:Z489)-'Retirement Planning'!$I$54-'Retirement Planning'!$I$61)&gt;'Retirement Planning'!$J$58,(SUM(Z478:Z489)-'Retirement Planning'!$I$54-'Retirement Planning'!$I$61-'Retirement Planning'!$J$58)*'Retirement Planning'!$I$59+'Retirement Planning'!$K$58,IF((SUM(Z478:Z489)-'Retirement Planning'!$I$54-'Retirement Planning'!$I$61)&gt;'Retirement Planning'!$J$57,(SUM(Z478:Z489)-'Retirement Planning'!$I$54-'Retirement Planning'!$I$61-'Retirement Planning'!$J$57)*'Retirement Planning'!$I$58+'Retirement Planning'!$K$57,IF((SUM(Z478:Z489)-'Retirement Planning'!$I$54-'Retirement Planning'!$I$61)&gt;'Retirement Planning'!$J$56,(SUM(Z478:Z489)-'Retirement Planning'!$I$54-'Retirement Planning'!$I$61-'Retirement Planning'!$J$56)*'Retirement Planning'!$I$57+'Retirement Planning'!$K$56,(SUM(Z478:Z489)-'Retirement Planning'!$I$54-'Retirement Planning'!$I$61)*'Retirement Planning'!$I$56))))))/12,AA489)</f>
        <v>1330.2429732746787</v>
      </c>
      <c r="AB490" s="104">
        <f t="shared" ref="AB490:AB500" ca="1" si="218">AB489</f>
        <v>0.19737983436984505</v>
      </c>
      <c r="AC490" s="7">
        <f>IF(B490&lt;65,'Retirement Planning'!$J$28,0)</f>
        <v>0</v>
      </c>
      <c r="AD490" s="7">
        <f>IF(B490&lt;65,'Retirement Planning'!$J$29/12,0)</f>
        <v>0</v>
      </c>
      <c r="AE490" s="22">
        <f>'Retirement Planning'!$J$31/12</f>
        <v>58.333333333333336</v>
      </c>
      <c r="AF490" s="22">
        <f>'Retirement Planning'!$J$32/12</f>
        <v>66.666666666666671</v>
      </c>
      <c r="AG490" s="7">
        <f>IF($B490&gt;64.9,'Retirement Planning'!$J$39/12,0)</f>
        <v>183.33333333333334</v>
      </c>
      <c r="AH490" s="7">
        <f>IF($B490&gt;64.9,'Retirement Planning'!$J$40/12,0)</f>
        <v>258.33333333333331</v>
      </c>
      <c r="AI490" s="7">
        <f>IF($B490&gt;64.9,'Retirement Planning'!$J$41/12,0)</f>
        <v>558.33333333333337</v>
      </c>
      <c r="AJ490" s="7">
        <f t="shared" ca="1" si="203"/>
        <v>316.66666666666663</v>
      </c>
      <c r="AK490" s="3" t="str">
        <f t="shared" ca="1" si="190"/>
        <v>N/A</v>
      </c>
      <c r="AL490" s="6" t="str">
        <f t="shared" ca="1" si="191"/>
        <v>N/A</v>
      </c>
      <c r="AM490" s="7">
        <f t="shared" ca="1" si="204"/>
        <v>-2.2737367544323206E-13</v>
      </c>
      <c r="AN490" s="7">
        <f t="shared" ca="1" si="205"/>
        <v>23009.851534529178</v>
      </c>
      <c r="AO490" s="7">
        <f t="shared" si="206"/>
        <v>1125</v>
      </c>
    </row>
    <row r="491" spans="1:41" x14ac:dyDescent="0.2">
      <c r="A491">
        <f t="shared" si="207"/>
        <v>50</v>
      </c>
      <c r="B491" s="5">
        <f>(INT((((YEAR(C491)-YEAR(DATE(1970,10,16)))*12+MONTH(C491)-MONTH(DATE(1970,10,16)))/12)*10))/10</f>
        <v>96.4</v>
      </c>
      <c r="C491" s="56">
        <f>DATE(YEAR(C490),MONTH(C490)+1,1)</f>
        <v>61057</v>
      </c>
      <c r="D491" s="57">
        <f ca="1">IF(AND(B490&lt;59.5,OR(B491&gt;59.5,B491=59.5)),(D490-E490+J490-K490)*(1+'Retirement Planning'!$J$23/12),(D490-E490)*(1+'Retirement Planning'!$J$23/12))</f>
        <v>1461151.8290758755</v>
      </c>
      <c r="E491" s="58">
        <f t="shared" ca="1" si="198"/>
        <v>11333.475828645756</v>
      </c>
      <c r="F491" s="57">
        <f ca="1">IF(AND(OR(B491&gt;59.5,B491=59.5),B490&lt;59.5),(F490-G490+L490-M490+N490-O490)*(1+'Retirement Planning'!$J$23/12),(F490-G490)*(1+'Retirement Planning'!$J$23/12))</f>
        <v>0</v>
      </c>
      <c r="G491" s="58">
        <f ca="1">IF(AND($B$10&lt;55,B491&lt;59.5),'Retirement Planning'!$J$25,IF(OR(B491&gt;59.5,B491=59.5),MAX(0,MIN(F491,IF(D491&lt;2500,((Y491+AJ491+AA491))-X491,((Y491+AJ491+AA491)*'Retirement Planning'!$J$44)-X491))),0))</f>
        <v>0</v>
      </c>
      <c r="H491" s="255">
        <f ca="1">IF(MONTH(C491)=1,IF(B491&gt;69.5,F491/(INDEX('Retirement Planning'!D$1:D$264,(160+INT(B491))))/12,0),IF(F491=0,0,H490))</f>
        <v>0</v>
      </c>
      <c r="I491" s="262">
        <f t="shared" ca="1" si="199"/>
        <v>0</v>
      </c>
      <c r="J491" s="254">
        <f ca="1">IF(AND(B490&lt;59.5,OR(B491=59.5,B491&gt;59.5)),0,(J490-K490)*(1+'Retirement Planning'!$J$23/12))</f>
        <v>0</v>
      </c>
      <c r="K491" s="58">
        <f t="shared" ca="1" si="200"/>
        <v>0</v>
      </c>
      <c r="L491" s="57">
        <f>IF(AND(OR(B491&gt;59.5,B491=59.5),B490&lt;59.5),0,(L490-M490)*(1+'Retirement Planning'!$J$23/12))</f>
        <v>0</v>
      </c>
      <c r="M491" s="59">
        <f>IF(AND($B$10&lt;55,B491&lt;59.5),0,IF(B491&lt;59.5,MAX(0,MIN((($Y491+$AJ491+AA491)*'Retirement Planning'!$J$44)-$G491-$X491,L491)),0))</f>
        <v>0</v>
      </c>
      <c r="N491" s="57">
        <f ca="1">(N490-O490)*(1+'Retirement Planning'!$J$23/12)</f>
        <v>0</v>
      </c>
      <c r="O491" s="59">
        <f ca="1">IF(B491&gt;59.5,MAX(0,MIN((AA491+$Y491+$AJ491)*(IF(D491&lt;(MIN(E479:E490)+1),1,'Retirement Planning'!$J$44))-M491-$G491-$X491-(IF(D491&lt;(MIN(E479:E490)+1),D491,0)),N491)),0)</f>
        <v>0</v>
      </c>
      <c r="P491" s="57">
        <f t="shared" si="210"/>
        <v>0</v>
      </c>
      <c r="Q491" s="58">
        <f t="shared" si="211"/>
        <v>0</v>
      </c>
      <c r="R491" s="57">
        <f ca="1">(R490-S490-T490)*(1+'Retirement Planning'!$J$23/12)</f>
        <v>2740473.4337953739</v>
      </c>
      <c r="S491" s="58">
        <f t="shared" ca="1" si="212"/>
        <v>808.33333333333337</v>
      </c>
      <c r="T491" s="273">
        <f t="shared" ca="1" si="201"/>
        <v>-3.4106051316484809E-12</v>
      </c>
      <c r="U491" s="57">
        <f ca="1">(U490-V490)*(1+'Retirement Planning'!$J$23/12)</f>
        <v>1170542.314936694</v>
      </c>
      <c r="V491" s="24">
        <f ca="1">IF(AND($B$10&lt;55,B491&lt;59.5),MIN(U491,MAX(0,(Y491+AA491+AJ491-G491)*'Retirement Planning'!$J$45)),IF(B491&lt;59.5,(MIN(U491,MAX(0,((Y491+AA491+AJ491)-G491-M491)*'Retirement Planning'!$J$45))),MIN(U491,MAX(0,(Y491+AA491+AJ491-G491-M491-K491-X491)*'Retirement Planning'!$J$45))))</f>
        <v>9654.442372550091</v>
      </c>
      <c r="W491" s="7">
        <f t="shared" ca="1" si="202"/>
        <v>5372167.5778079433</v>
      </c>
      <c r="X491" s="7">
        <f>(IF(B491&gt;'Retirement Planning'!$J$34,IF('Retirement Planning'!$J$34=70,'Retirement Planning'!$J$37/12,IF('Retirement Planning'!$J$34=67,'Retirement Planning'!$J$36/12,'Retirement Planning'!$J$35/12)),0))*'Retirement Planning'!$J$38</f>
        <v>1213.6000000000001</v>
      </c>
      <c r="Y491" s="7">
        <f ca="1">'Retirement Planning'!$F$35*((1+'Retirement Planning'!$J$24)^(YEAR('Projected Retirement Drawdown'!C491)-YEAR(TODAY())))</f>
        <v>20554.608561254499</v>
      </c>
      <c r="Z491" s="7">
        <f ca="1">G491+M491+O491+0.85*X491+V491*'Retirement Planning'!$J$46+T491</f>
        <v>6341.5033049025469</v>
      </c>
      <c r="AA491" s="7">
        <f ca="1">IF(MONTH(C491)=1,(((MIN(MAX(0,((SUM(Z479:Z490)-'Retirement Planning'!$I$53-'Retirement Planning'!$I$54)-'Retirement Planning'!$J$51)*'Retirement Planning'!$I$52))))+(MIN(MAX(0,((SUM(Z479:Z490)-'Retirement Planning'!$I$53-'Retirement Planning'!$I$54)-'Retirement Planning'!$J$50)*'Retirement Planning'!$I$51),('Retirement Planning'!$J$51-'Retirement Planning'!$J$50)*'Retirement Planning'!$I$51))+(MIN(MAX(0,((SUM(Z479:Z490)-'Retirement Planning'!$I$53-'Retirement Planning'!$I$54)-'Retirement Planning'!$J$49)*'Retirement Planning'!$I$50),('Retirement Planning'!$J$50-'Retirement Planning'!$J$49)*'Retirement Planning'!$I$50)+MIN(MAX(0,((SUM(Z479:Z490)-'Retirement Planning'!$I$53-'Retirement Planning'!$I$54)-'Retirement Planning'!$J$48)*'Retirement Planning'!$I$49),('Retirement Planning'!$J$49-'Retirement Planning'!$J$48)*'Retirement Planning'!$I$49)+MIN(((SUM(Z479:Z490)-'Retirement Planning'!$I$53-'Retirement Planning'!$I$54))*'Retirement Planning'!$I$48,('Retirement Planning'!$J$48)*'Retirement Planning'!$I$48))+(IF((SUM(Z479:Z490)-'Retirement Planning'!$I$54-'Retirement Planning'!$I$61)&gt;'Retirement Planning'!$J$59,(SUM(Z479:Z490)-'Retirement Planning'!$I$54-'Retirement Planning'!$I$61-'Retirement Planning'!$J$59)*'Retirement Planning'!$I$60+'Retirement Planning'!$K$59,IF((SUM(Z479:Z490)-'Retirement Planning'!$I$54-'Retirement Planning'!$I$61)&gt;'Retirement Planning'!$J$58,(SUM(Z479:Z490)-'Retirement Planning'!$I$54-'Retirement Planning'!$I$61-'Retirement Planning'!$J$58)*'Retirement Planning'!$I$59+'Retirement Planning'!$K$58,IF((SUM(Z479:Z490)-'Retirement Planning'!$I$54-'Retirement Planning'!$I$61)&gt;'Retirement Planning'!$J$57,(SUM(Z479:Z490)-'Retirement Planning'!$I$54-'Retirement Planning'!$I$61-'Retirement Planning'!$J$57)*'Retirement Planning'!$I$58+'Retirement Planning'!$K$57,IF((SUM(Z479:Z490)-'Retirement Planning'!$I$54-'Retirement Planning'!$I$61)&gt;'Retirement Planning'!$J$56,(SUM(Z479:Z490)-'Retirement Planning'!$I$54-'Retirement Planning'!$I$61-'Retirement Planning'!$J$56)*'Retirement Planning'!$I$57+'Retirement Planning'!$K$56,(SUM(Z479:Z490)-'Retirement Planning'!$I$54-'Retirement Planning'!$I$61)*'Retirement Planning'!$I$56))))))/12,AA490)</f>
        <v>1330.2429732746787</v>
      </c>
      <c r="AB491" s="104">
        <f t="shared" ca="1" si="193"/>
        <v>0.19737983436984505</v>
      </c>
      <c r="AC491" s="7">
        <f>IF(B491&lt;65,'Retirement Planning'!$J$28,0)</f>
        <v>0</v>
      </c>
      <c r="AD491" s="7">
        <f>IF(B491&lt;65,'Retirement Planning'!$J$29/12,0)</f>
        <v>0</v>
      </c>
      <c r="AE491" s="22">
        <f>'Retirement Planning'!$J$31/12</f>
        <v>58.333333333333336</v>
      </c>
      <c r="AF491" s="22">
        <f>'Retirement Planning'!$J$32/12</f>
        <v>66.666666666666671</v>
      </c>
      <c r="AG491" s="7">
        <f>IF($B491&gt;64.9,'Retirement Planning'!$J$39/12,0)</f>
        <v>183.33333333333334</v>
      </c>
      <c r="AH491" s="7">
        <f>IF($B491&gt;64.9,'Retirement Planning'!$J$40/12,0)</f>
        <v>258.33333333333331</v>
      </c>
      <c r="AI491" s="7">
        <f>IF($B491&gt;64.9,'Retirement Planning'!$J$41/12,0)</f>
        <v>558.33333333333337</v>
      </c>
      <c r="AJ491" s="7">
        <f t="shared" ca="1" si="203"/>
        <v>316.66666666666663</v>
      </c>
      <c r="AK491" s="3" t="str">
        <f t="shared" ref="AK491:AK505" ca="1" si="219">IF(AND(R491&lt;AN491,R490&gt;AN490),C491,AK490)</f>
        <v>N/A</v>
      </c>
      <c r="AL491" s="6" t="str">
        <f t="shared" ref="AL491:AL505" ca="1" si="220">IF(AND(R491&lt;AN491,R490&gt;AN490),B491,AL490)</f>
        <v>N/A</v>
      </c>
      <c r="AM491" s="7">
        <f t="shared" ca="1" si="204"/>
        <v>-2.2737367544323206E-13</v>
      </c>
      <c r="AN491" s="7">
        <f t="shared" ca="1" si="205"/>
        <v>23009.851534529178</v>
      </c>
      <c r="AO491" s="7">
        <f t="shared" si="206"/>
        <v>1125</v>
      </c>
    </row>
    <row r="492" spans="1:41" x14ac:dyDescent="0.2">
      <c r="A492">
        <f t="shared" si="207"/>
        <v>50</v>
      </c>
      <c r="B492" s="5">
        <f t="shared" ref="B492:B505" si="221">(INT((((YEAR(C492)-YEAR(DATE(1970,10,16)))*12+MONTH(C492)-MONTH(DATE(1970,10,16)))/12)*10))/10</f>
        <v>96.5</v>
      </c>
      <c r="C492" s="56">
        <f t="shared" ref="C492:C505" si="222">DATE(YEAR(C491),MONTH(C491)+1,1)</f>
        <v>61088</v>
      </c>
      <c r="D492" s="57">
        <f ca="1">IF(AND(B491&lt;59.5,OR(B492&gt;59.5,B492=59.5)),(D491-E491+J491-K491)*(1+'Retirement Planning'!$J$23/12),(D491-E491)*(1+'Retirement Planning'!$J$23/12))</f>
        <v>1460087.8999160642</v>
      </c>
      <c r="E492" s="58">
        <f t="shared" ca="1" si="198"/>
        <v>11333.475828645756</v>
      </c>
      <c r="F492" s="57">
        <f ca="1">IF(AND(OR(B492&gt;59.5,B492=59.5),B491&lt;59.5),(F491-G491+L491-M491+N491-O491)*(1+'Retirement Planning'!$J$23/12),(F491-G491)*(1+'Retirement Planning'!$J$23/12))</f>
        <v>0</v>
      </c>
      <c r="G492" s="58">
        <f ca="1">IF(AND($B$10&lt;55,B492&lt;59.5),'Retirement Planning'!$J$25,IF(OR(B492&gt;59.5,B492=59.5),MAX(0,MIN(F492,IF(D492&lt;2500,((Y492+AJ492+AA492))-X492,((Y492+AJ492+AA492)*'Retirement Planning'!$J$44)-X492))),0))</f>
        <v>0</v>
      </c>
      <c r="H492" s="255">
        <f ca="1">IF(MONTH(C492)=1,IF(B492&gt;69.5,F492/(INDEX('Retirement Planning'!D$1:D$264,(160+INT(B492))))/12,0),IF(F492=0,0,H491))</f>
        <v>0</v>
      </c>
      <c r="I492" s="262">
        <f t="shared" ca="1" si="199"/>
        <v>0</v>
      </c>
      <c r="J492" s="254">
        <f ca="1">IF(AND(B491&lt;59.5,OR(B492=59.5,B492&gt;59.5)),0,(J491-K491)*(1+'Retirement Planning'!$J$23/12))</f>
        <v>0</v>
      </c>
      <c r="K492" s="58">
        <f t="shared" ca="1" si="200"/>
        <v>0</v>
      </c>
      <c r="L492" s="57">
        <f>IF(AND(OR(B492&gt;59.5,B492=59.5),B491&lt;59.5),0,(L491-M491)*(1+'Retirement Planning'!$J$23/12))</f>
        <v>0</v>
      </c>
      <c r="M492" s="59">
        <f>IF(AND($B$10&lt;55,B492&lt;59.5),0,IF(B492&lt;59.5,MAX(0,MIN((($Y492+$AJ492+AA492)*'Retirement Planning'!$J$44)-$G492-$X492,L492)),0))</f>
        <v>0</v>
      </c>
      <c r="N492" s="57">
        <f ca="1">(N491-O491)*(1+'Retirement Planning'!$J$23/12)</f>
        <v>0</v>
      </c>
      <c r="O492" s="59">
        <f ca="1">IF(B492&gt;59.5,MAX(0,MIN((AA492+$Y492+$AJ492)*(IF(D492&lt;(MIN(E480:E491)+1),1,'Retirement Planning'!$J$44))-M492-$G492-$X492-(IF(D492&lt;(MIN(E480:E491)+1),D492,0)),N492)),0)</f>
        <v>0</v>
      </c>
      <c r="P492" s="57">
        <f t="shared" si="210"/>
        <v>0</v>
      </c>
      <c r="Q492" s="58">
        <f t="shared" si="211"/>
        <v>0</v>
      </c>
      <c r="R492" s="57">
        <f ca="1">(R491-S491-T491)*(1+'Retirement Planning'!$J$23/12)</f>
        <v>2759071.061590313</v>
      </c>
      <c r="S492" s="58">
        <f t="shared" ca="1" si="212"/>
        <v>808.33333333333337</v>
      </c>
      <c r="T492" s="273">
        <f t="shared" ca="1" si="201"/>
        <v>-3.4106051316484809E-12</v>
      </c>
      <c r="U492" s="57">
        <f ca="1">(U491-V491)*(1+'Retirement Planning'!$J$23/12)</f>
        <v>1169110.8283281401</v>
      </c>
      <c r="V492" s="24">
        <f ca="1">IF(AND($B$10&lt;55,B492&lt;59.5),MIN(U492,MAX(0,(Y492+AA492+AJ492-G492)*'Retirement Planning'!$J$45)),IF(B492&lt;59.5,(MIN(U492,MAX(0,((Y492+AA492+AJ492)-G492-M492)*'Retirement Planning'!$J$45))),MIN(U492,MAX(0,(Y492+AA492+AJ492-G492-M492-K492-X492)*'Retirement Planning'!$J$45))))</f>
        <v>9654.442372550091</v>
      </c>
      <c r="W492" s="7">
        <f t="shared" ca="1" si="202"/>
        <v>5388269.7898345171</v>
      </c>
      <c r="X492" s="7">
        <f>(IF(B492&gt;'Retirement Planning'!$J$34,IF('Retirement Planning'!$J$34=70,'Retirement Planning'!$J$37/12,IF('Retirement Planning'!$J$34=67,'Retirement Planning'!$J$36/12,'Retirement Planning'!$J$35/12)),0))*'Retirement Planning'!$J$38</f>
        <v>1213.6000000000001</v>
      </c>
      <c r="Y492" s="7">
        <f ca="1">'Retirement Planning'!$F$35*((1+'Retirement Planning'!$J$24)^(YEAR('Projected Retirement Drawdown'!C492)-YEAR(TODAY())))</f>
        <v>20554.608561254499</v>
      </c>
      <c r="Z492" s="7">
        <f ca="1">G492+M492+O492+0.85*X492+V492*'Retirement Planning'!$J$46+T492</f>
        <v>6341.5033049025469</v>
      </c>
      <c r="AA492" s="7">
        <f ca="1">IF(MONTH(C492)=1,(((MIN(MAX(0,((SUM(Z480:Z491)-'Retirement Planning'!$I$53-'Retirement Planning'!$I$54)-'Retirement Planning'!$J$51)*'Retirement Planning'!$I$52))))+(MIN(MAX(0,((SUM(Z480:Z491)-'Retirement Planning'!$I$53-'Retirement Planning'!$I$54)-'Retirement Planning'!$J$50)*'Retirement Planning'!$I$51),('Retirement Planning'!$J$51-'Retirement Planning'!$J$50)*'Retirement Planning'!$I$51))+(MIN(MAX(0,((SUM(Z480:Z491)-'Retirement Planning'!$I$53-'Retirement Planning'!$I$54)-'Retirement Planning'!$J$49)*'Retirement Planning'!$I$50),('Retirement Planning'!$J$50-'Retirement Planning'!$J$49)*'Retirement Planning'!$I$50)+MIN(MAX(0,((SUM(Z480:Z491)-'Retirement Planning'!$I$53-'Retirement Planning'!$I$54)-'Retirement Planning'!$J$48)*'Retirement Planning'!$I$49),('Retirement Planning'!$J$49-'Retirement Planning'!$J$48)*'Retirement Planning'!$I$49)+MIN(((SUM(Z480:Z491)-'Retirement Planning'!$I$53-'Retirement Planning'!$I$54))*'Retirement Planning'!$I$48,('Retirement Planning'!$J$48)*'Retirement Planning'!$I$48))+(IF((SUM(Z480:Z491)-'Retirement Planning'!$I$54-'Retirement Planning'!$I$61)&gt;'Retirement Planning'!$J$59,(SUM(Z480:Z491)-'Retirement Planning'!$I$54-'Retirement Planning'!$I$61-'Retirement Planning'!$J$59)*'Retirement Planning'!$I$60+'Retirement Planning'!$K$59,IF((SUM(Z480:Z491)-'Retirement Planning'!$I$54-'Retirement Planning'!$I$61)&gt;'Retirement Planning'!$J$58,(SUM(Z480:Z491)-'Retirement Planning'!$I$54-'Retirement Planning'!$I$61-'Retirement Planning'!$J$58)*'Retirement Planning'!$I$59+'Retirement Planning'!$K$58,IF((SUM(Z480:Z491)-'Retirement Planning'!$I$54-'Retirement Planning'!$I$61)&gt;'Retirement Planning'!$J$57,(SUM(Z480:Z491)-'Retirement Planning'!$I$54-'Retirement Planning'!$I$61-'Retirement Planning'!$J$57)*'Retirement Planning'!$I$58+'Retirement Planning'!$K$57,IF((SUM(Z480:Z491)-'Retirement Planning'!$I$54-'Retirement Planning'!$I$61)&gt;'Retirement Planning'!$J$56,(SUM(Z480:Z491)-'Retirement Planning'!$I$54-'Retirement Planning'!$I$61-'Retirement Planning'!$J$56)*'Retirement Planning'!$I$57+'Retirement Planning'!$K$56,(SUM(Z480:Z491)-'Retirement Planning'!$I$54-'Retirement Planning'!$I$61)*'Retirement Planning'!$I$56))))))/12,AA491)</f>
        <v>1330.2429732746787</v>
      </c>
      <c r="AB492" s="104">
        <f t="shared" ca="1" si="193"/>
        <v>0.19737983436984505</v>
      </c>
      <c r="AC492" s="7">
        <f>IF(B492&lt;65,'Retirement Planning'!$J$28,0)</f>
        <v>0</v>
      </c>
      <c r="AD492" s="7">
        <f>IF(B492&lt;65,'Retirement Planning'!$J$29/12,0)</f>
        <v>0</v>
      </c>
      <c r="AE492" s="22">
        <f>'Retirement Planning'!$J$31/12</f>
        <v>58.333333333333336</v>
      </c>
      <c r="AF492" s="22">
        <f>'Retirement Planning'!$J$32/12</f>
        <v>66.666666666666671</v>
      </c>
      <c r="AG492" s="7">
        <f>IF($B492&gt;64.9,'Retirement Planning'!$J$39/12,0)</f>
        <v>183.33333333333334</v>
      </c>
      <c r="AH492" s="7">
        <f>IF($B492&gt;64.9,'Retirement Planning'!$J$40/12,0)</f>
        <v>258.33333333333331</v>
      </c>
      <c r="AI492" s="7">
        <f>IF($B492&gt;64.9,'Retirement Planning'!$J$41/12,0)</f>
        <v>558.33333333333337</v>
      </c>
      <c r="AJ492" s="7">
        <f t="shared" ca="1" si="203"/>
        <v>316.66666666666663</v>
      </c>
      <c r="AK492" s="3" t="str">
        <f t="shared" ca="1" si="219"/>
        <v>N/A</v>
      </c>
      <c r="AL492" s="6" t="str">
        <f t="shared" ca="1" si="220"/>
        <v>N/A</v>
      </c>
      <c r="AM492" s="7">
        <f t="shared" ca="1" si="204"/>
        <v>-2.2737367544323206E-13</v>
      </c>
      <c r="AN492" s="7">
        <f t="shared" ca="1" si="205"/>
        <v>23009.851534529178</v>
      </c>
      <c r="AO492" s="7">
        <f t="shared" si="206"/>
        <v>1125</v>
      </c>
    </row>
    <row r="493" spans="1:41" x14ac:dyDescent="0.2">
      <c r="A493">
        <f t="shared" si="207"/>
        <v>50</v>
      </c>
      <c r="B493" s="5">
        <f t="shared" si="221"/>
        <v>96.5</v>
      </c>
      <c r="C493" s="56">
        <f t="shared" si="222"/>
        <v>61118</v>
      </c>
      <c r="D493" s="57">
        <f ca="1">IF(AND(B492&lt;59.5,OR(B493&gt;59.5,B493=59.5)),(D492-E492+J492-K492)*(1+'Retirement Planning'!$J$23/12),(D492-E492)*(1+'Retirement Planning'!$J$23/12))</f>
        <v>1459016.4345913711</v>
      </c>
      <c r="E493" s="58">
        <f t="shared" ca="1" si="198"/>
        <v>11333.475828645756</v>
      </c>
      <c r="F493" s="57">
        <f ca="1">IF(AND(OR(B493&gt;59.5,B493=59.5),B492&lt;59.5),(F492-G492+L492-M492+N492-O492)*(1+'Retirement Planning'!$J$23/12),(F492-G492)*(1+'Retirement Planning'!$J$23/12))</f>
        <v>0</v>
      </c>
      <c r="G493" s="58">
        <f ca="1">IF(AND($B$10&lt;55,B493&lt;59.5),'Retirement Planning'!$J$25,IF(OR(B493&gt;59.5,B493=59.5),MAX(0,MIN(F493,IF(D493&lt;2500,((Y493+AJ493+AA493))-X493,((Y493+AJ493+AA493)*'Retirement Planning'!$J$44)-X493))),0))</f>
        <v>0</v>
      </c>
      <c r="H493" s="255">
        <f ca="1">IF(MONTH(C493)=1,IF(B493&gt;69.5,F493/(INDEX('Retirement Planning'!D$1:D$264,(160+INT(B493))))/12,0),IF(F493=0,0,H492))</f>
        <v>0</v>
      </c>
      <c r="I493" s="262">
        <f t="shared" ca="1" si="199"/>
        <v>0</v>
      </c>
      <c r="J493" s="254">
        <f ca="1">IF(AND(B492&lt;59.5,OR(B493=59.5,B493&gt;59.5)),0,(J492-K492)*(1+'Retirement Planning'!$J$23/12))</f>
        <v>0</v>
      </c>
      <c r="K493" s="58">
        <f t="shared" ca="1" si="200"/>
        <v>0</v>
      </c>
      <c r="L493" s="57">
        <f>IF(AND(OR(B493&gt;59.5,B493=59.5),B492&lt;59.5),0,(L492-M492)*(1+'Retirement Planning'!$J$23/12))</f>
        <v>0</v>
      </c>
      <c r="M493" s="59">
        <f>IF(AND($B$10&lt;55,B493&lt;59.5),0,IF(B493&lt;59.5,MAX(0,MIN((($Y493+$AJ493+AA493)*'Retirement Planning'!$J$44)-$G493-$X493,L493)),0))</f>
        <v>0</v>
      </c>
      <c r="N493" s="57">
        <f ca="1">(N492-O492)*(1+'Retirement Planning'!$J$23/12)</f>
        <v>0</v>
      </c>
      <c r="O493" s="59">
        <f ca="1">IF(B493&gt;59.5,MAX(0,MIN((AA493+$Y493+$AJ493)*(IF(D493&lt;(MIN(E481:E492)+1),1,'Retirement Planning'!$J$44))-M493-$G493-$X493-(IF(D493&lt;(MIN(E481:E492)+1),D493,0)),N493)),0)</f>
        <v>0</v>
      </c>
      <c r="P493" s="57">
        <f t="shared" si="210"/>
        <v>0</v>
      </c>
      <c r="Q493" s="58">
        <f t="shared" si="211"/>
        <v>0</v>
      </c>
      <c r="R493" s="57">
        <f ca="1">(R492-S492-T492)*(1+'Retirement Planning'!$J$23/12)</f>
        <v>2777800.4225821332</v>
      </c>
      <c r="S493" s="58">
        <f t="shared" ca="1" si="212"/>
        <v>808.33333333333337</v>
      </c>
      <c r="T493" s="273">
        <f t="shared" ca="1" si="201"/>
        <v>-3.4106051316484809E-12</v>
      </c>
      <c r="U493" s="57">
        <f ca="1">(U492-V492)*(1+'Retirement Planning'!$J$23/12)</f>
        <v>1167669.2020227755</v>
      </c>
      <c r="V493" s="24">
        <f ca="1">IF(AND($B$10&lt;55,B493&lt;59.5),MIN(U493,MAX(0,(Y493+AA493+AJ493-G493)*'Retirement Planning'!$J$45)),IF(B493&lt;59.5,(MIN(U493,MAX(0,((Y493+AA493+AJ493)-G493-M493)*'Retirement Planning'!$J$45))),MIN(U493,MAX(0,(Y493+AA493+AJ493-G493-M493-K493-X493)*'Retirement Planning'!$J$45))))</f>
        <v>9654.442372550091</v>
      </c>
      <c r="W493" s="7">
        <f t="shared" ca="1" si="202"/>
        <v>5404486.0591962803</v>
      </c>
      <c r="X493" s="7">
        <f>(IF(B493&gt;'Retirement Planning'!$J$34,IF('Retirement Planning'!$J$34=70,'Retirement Planning'!$J$37/12,IF('Retirement Planning'!$J$34=67,'Retirement Planning'!$J$36/12,'Retirement Planning'!$J$35/12)),0))*'Retirement Planning'!$J$38</f>
        <v>1213.6000000000001</v>
      </c>
      <c r="Y493" s="7">
        <f ca="1">'Retirement Planning'!$F$35*((1+'Retirement Planning'!$J$24)^(YEAR('Projected Retirement Drawdown'!C493)-YEAR(TODAY())))</f>
        <v>20554.608561254499</v>
      </c>
      <c r="Z493" s="7">
        <f ca="1">G493+M493+O493+0.85*X493+V493*'Retirement Planning'!$J$46+T493</f>
        <v>6341.5033049025469</v>
      </c>
      <c r="AA493" s="7">
        <f ca="1">IF(MONTH(C493)=1,(((MIN(MAX(0,((SUM(Z481:Z492)-'Retirement Planning'!$I$53-'Retirement Planning'!$I$54)-'Retirement Planning'!$J$51)*'Retirement Planning'!$I$52))))+(MIN(MAX(0,((SUM(Z481:Z492)-'Retirement Planning'!$I$53-'Retirement Planning'!$I$54)-'Retirement Planning'!$J$50)*'Retirement Planning'!$I$51),('Retirement Planning'!$J$51-'Retirement Planning'!$J$50)*'Retirement Planning'!$I$51))+(MIN(MAX(0,((SUM(Z481:Z492)-'Retirement Planning'!$I$53-'Retirement Planning'!$I$54)-'Retirement Planning'!$J$49)*'Retirement Planning'!$I$50),('Retirement Planning'!$J$50-'Retirement Planning'!$J$49)*'Retirement Planning'!$I$50)+MIN(MAX(0,((SUM(Z481:Z492)-'Retirement Planning'!$I$53-'Retirement Planning'!$I$54)-'Retirement Planning'!$J$48)*'Retirement Planning'!$I$49),('Retirement Planning'!$J$49-'Retirement Planning'!$J$48)*'Retirement Planning'!$I$49)+MIN(((SUM(Z481:Z492)-'Retirement Planning'!$I$53-'Retirement Planning'!$I$54))*'Retirement Planning'!$I$48,('Retirement Planning'!$J$48)*'Retirement Planning'!$I$48))+(IF((SUM(Z481:Z492)-'Retirement Planning'!$I$54-'Retirement Planning'!$I$61)&gt;'Retirement Planning'!$J$59,(SUM(Z481:Z492)-'Retirement Planning'!$I$54-'Retirement Planning'!$I$61-'Retirement Planning'!$J$59)*'Retirement Planning'!$I$60+'Retirement Planning'!$K$59,IF((SUM(Z481:Z492)-'Retirement Planning'!$I$54-'Retirement Planning'!$I$61)&gt;'Retirement Planning'!$J$58,(SUM(Z481:Z492)-'Retirement Planning'!$I$54-'Retirement Planning'!$I$61-'Retirement Planning'!$J$58)*'Retirement Planning'!$I$59+'Retirement Planning'!$K$58,IF((SUM(Z481:Z492)-'Retirement Planning'!$I$54-'Retirement Planning'!$I$61)&gt;'Retirement Planning'!$J$57,(SUM(Z481:Z492)-'Retirement Planning'!$I$54-'Retirement Planning'!$I$61-'Retirement Planning'!$J$57)*'Retirement Planning'!$I$58+'Retirement Planning'!$K$57,IF((SUM(Z481:Z492)-'Retirement Planning'!$I$54-'Retirement Planning'!$I$61)&gt;'Retirement Planning'!$J$56,(SUM(Z481:Z492)-'Retirement Planning'!$I$54-'Retirement Planning'!$I$61-'Retirement Planning'!$J$56)*'Retirement Planning'!$I$57+'Retirement Planning'!$K$56,(SUM(Z481:Z492)-'Retirement Planning'!$I$54-'Retirement Planning'!$I$61)*'Retirement Planning'!$I$56))))))/12,AA492)</f>
        <v>1330.2429732746787</v>
      </c>
      <c r="AB493" s="104">
        <f t="shared" ca="1" si="193"/>
        <v>0.19737983436984505</v>
      </c>
      <c r="AC493" s="7">
        <f>IF(B493&lt;65,'Retirement Planning'!$J$28,0)</f>
        <v>0</v>
      </c>
      <c r="AD493" s="7">
        <f>IF(B493&lt;65,'Retirement Planning'!$J$29/12,0)</f>
        <v>0</v>
      </c>
      <c r="AE493" s="22">
        <f>'Retirement Planning'!$J$31/12</f>
        <v>58.333333333333336</v>
      </c>
      <c r="AF493" s="22">
        <f>'Retirement Planning'!$J$32/12</f>
        <v>66.666666666666671</v>
      </c>
      <c r="AG493" s="7">
        <f>IF($B493&gt;64.9,'Retirement Planning'!$J$39/12,0)</f>
        <v>183.33333333333334</v>
      </c>
      <c r="AH493" s="7">
        <f>IF($B493&gt;64.9,'Retirement Planning'!$J$40/12,0)</f>
        <v>258.33333333333331</v>
      </c>
      <c r="AI493" s="7">
        <f>IF($B493&gt;64.9,'Retirement Planning'!$J$41/12,0)</f>
        <v>558.33333333333337</v>
      </c>
      <c r="AJ493" s="7">
        <f t="shared" ca="1" si="203"/>
        <v>316.66666666666663</v>
      </c>
      <c r="AK493" s="3" t="str">
        <f t="shared" ca="1" si="219"/>
        <v>N/A</v>
      </c>
      <c r="AL493" s="6" t="str">
        <f t="shared" ca="1" si="220"/>
        <v>N/A</v>
      </c>
      <c r="AM493" s="7">
        <f t="shared" ca="1" si="204"/>
        <v>-2.2737367544323206E-13</v>
      </c>
      <c r="AN493" s="7">
        <f t="shared" ca="1" si="205"/>
        <v>23009.851534529178</v>
      </c>
      <c r="AO493" s="7">
        <f t="shared" si="206"/>
        <v>1125</v>
      </c>
    </row>
    <row r="494" spans="1:41" x14ac:dyDescent="0.2">
      <c r="A494">
        <f t="shared" si="207"/>
        <v>50</v>
      </c>
      <c r="B494" s="5">
        <f t="shared" si="221"/>
        <v>96.6</v>
      </c>
      <c r="C494" s="56">
        <f t="shared" si="222"/>
        <v>61149</v>
      </c>
      <c r="D494" s="57">
        <f ca="1">IF(AND(B493&lt;59.5,OR(B494&gt;59.5,B494=59.5)),(D493-E493+J493-K493)*(1+'Retirement Planning'!$J$23/12),(D493-E493)*(1+'Retirement Planning'!$J$23/12))</f>
        <v>1457937.379720628</v>
      </c>
      <c r="E494" s="58">
        <f t="shared" ca="1" si="198"/>
        <v>11333.475828645756</v>
      </c>
      <c r="F494" s="57">
        <f ca="1">IF(AND(OR(B494&gt;59.5,B494=59.5),B493&lt;59.5),(F493-G493+L493-M493+N493-O493)*(1+'Retirement Planning'!$J$23/12),(F493-G493)*(1+'Retirement Planning'!$J$23/12))</f>
        <v>0</v>
      </c>
      <c r="G494" s="58">
        <f ca="1">IF(AND($B$10&lt;55,B494&lt;59.5),'Retirement Planning'!$J$25,IF(OR(B494&gt;59.5,B494=59.5),MAX(0,MIN(F494,IF(D494&lt;2500,((Y494+AJ494+AA494))-X494,((Y494+AJ494+AA494)*'Retirement Planning'!$J$44)-X494))),0))</f>
        <v>0</v>
      </c>
      <c r="H494" s="255">
        <f ca="1">IF(MONTH(C494)=1,IF(B494&gt;69.5,F494/(INDEX('Retirement Planning'!D$1:D$264,(160+INT(B494))))/12,0),IF(F494=0,0,H493))</f>
        <v>0</v>
      </c>
      <c r="I494" s="262">
        <f t="shared" ca="1" si="199"/>
        <v>0</v>
      </c>
      <c r="J494" s="254">
        <f ca="1">IF(AND(B493&lt;59.5,OR(B494=59.5,B494&gt;59.5)),0,(J493-K493)*(1+'Retirement Planning'!$J$23/12))</f>
        <v>0</v>
      </c>
      <c r="K494" s="58">
        <f t="shared" ca="1" si="200"/>
        <v>0</v>
      </c>
      <c r="L494" s="57">
        <f>IF(AND(OR(B494&gt;59.5,B494=59.5),B493&lt;59.5),0,(L493-M493)*(1+'Retirement Planning'!$J$23/12))</f>
        <v>0</v>
      </c>
      <c r="M494" s="59">
        <f>IF(AND($B$10&lt;55,B494&lt;59.5),0,IF(B494&lt;59.5,MAX(0,MIN((($Y494+$AJ494+AA494)*'Retirement Planning'!$J$44)-$G494-$X494,L494)),0))</f>
        <v>0</v>
      </c>
      <c r="N494" s="57">
        <f ca="1">(N493-O493)*(1+'Retirement Planning'!$J$23/12)</f>
        <v>0</v>
      </c>
      <c r="O494" s="59">
        <f ca="1">IF(B494&gt;59.5,MAX(0,MIN((AA494+$Y494+$AJ494)*(IF(D494&lt;(MIN(E482:E493)+1),1,'Retirement Planning'!$J$44))-M494-$G494-$X494-(IF(D494&lt;(MIN(E482:E493)+1),D494,0)),N494)),0)</f>
        <v>0</v>
      </c>
      <c r="P494" s="57">
        <f t="shared" si="210"/>
        <v>0</v>
      </c>
      <c r="Q494" s="58">
        <f t="shared" si="211"/>
        <v>0</v>
      </c>
      <c r="R494" s="57">
        <f ca="1">(R493-S493-T493)*(1+'Retirement Planning'!$J$23/12)</f>
        <v>2796662.4498809786</v>
      </c>
      <c r="S494" s="58">
        <f t="shared" ca="1" si="212"/>
        <v>808.33333333333337</v>
      </c>
      <c r="T494" s="273">
        <f t="shared" ca="1" si="201"/>
        <v>-3.4106051316484809E-12</v>
      </c>
      <c r="U494" s="57">
        <f ca="1">(U493-V493)*(1+'Retirement Planning'!$J$23/12)</f>
        <v>1166217.364197748</v>
      </c>
      <c r="V494" s="24">
        <f ca="1">IF(AND($B$10&lt;55,B494&lt;59.5),MIN(U494,MAX(0,(Y494+AA494+AJ494-G494)*'Retirement Planning'!$J$45)),IF(B494&lt;59.5,(MIN(U494,MAX(0,((Y494+AA494+AJ494)-G494-M494)*'Retirement Planning'!$J$45))),MIN(U494,MAX(0,(Y494+AA494+AJ494-G494-M494-K494-X494)*'Retirement Planning'!$J$45))))</f>
        <v>9654.442372550091</v>
      </c>
      <c r="W494" s="7">
        <f t="shared" ca="1" si="202"/>
        <v>5420817.1937993541</v>
      </c>
      <c r="X494" s="7">
        <f>(IF(B494&gt;'Retirement Planning'!$J$34,IF('Retirement Planning'!$J$34=70,'Retirement Planning'!$J$37/12,IF('Retirement Planning'!$J$34=67,'Retirement Planning'!$J$36/12,'Retirement Planning'!$J$35/12)),0))*'Retirement Planning'!$J$38</f>
        <v>1213.6000000000001</v>
      </c>
      <c r="Y494" s="7">
        <f ca="1">'Retirement Planning'!$F$35*((1+'Retirement Planning'!$J$24)^(YEAR('Projected Retirement Drawdown'!C494)-YEAR(TODAY())))</f>
        <v>20554.608561254499</v>
      </c>
      <c r="Z494" s="7">
        <f ca="1">G494+M494+O494+0.85*X494+V494*'Retirement Planning'!$J$46+T494</f>
        <v>6341.5033049025469</v>
      </c>
      <c r="AA494" s="7">
        <f ca="1">IF(MONTH(C494)=1,(((MIN(MAX(0,((SUM(Z482:Z493)-'Retirement Planning'!$I$53-'Retirement Planning'!$I$54)-'Retirement Planning'!$J$51)*'Retirement Planning'!$I$52))))+(MIN(MAX(0,((SUM(Z482:Z493)-'Retirement Planning'!$I$53-'Retirement Planning'!$I$54)-'Retirement Planning'!$J$50)*'Retirement Planning'!$I$51),('Retirement Planning'!$J$51-'Retirement Planning'!$J$50)*'Retirement Planning'!$I$51))+(MIN(MAX(0,((SUM(Z482:Z493)-'Retirement Planning'!$I$53-'Retirement Planning'!$I$54)-'Retirement Planning'!$J$49)*'Retirement Planning'!$I$50),('Retirement Planning'!$J$50-'Retirement Planning'!$J$49)*'Retirement Planning'!$I$50)+MIN(MAX(0,((SUM(Z482:Z493)-'Retirement Planning'!$I$53-'Retirement Planning'!$I$54)-'Retirement Planning'!$J$48)*'Retirement Planning'!$I$49),('Retirement Planning'!$J$49-'Retirement Planning'!$J$48)*'Retirement Planning'!$I$49)+MIN(((SUM(Z482:Z493)-'Retirement Planning'!$I$53-'Retirement Planning'!$I$54))*'Retirement Planning'!$I$48,('Retirement Planning'!$J$48)*'Retirement Planning'!$I$48))+(IF((SUM(Z482:Z493)-'Retirement Planning'!$I$54-'Retirement Planning'!$I$61)&gt;'Retirement Planning'!$J$59,(SUM(Z482:Z493)-'Retirement Planning'!$I$54-'Retirement Planning'!$I$61-'Retirement Planning'!$J$59)*'Retirement Planning'!$I$60+'Retirement Planning'!$K$59,IF((SUM(Z482:Z493)-'Retirement Planning'!$I$54-'Retirement Planning'!$I$61)&gt;'Retirement Planning'!$J$58,(SUM(Z482:Z493)-'Retirement Planning'!$I$54-'Retirement Planning'!$I$61-'Retirement Planning'!$J$58)*'Retirement Planning'!$I$59+'Retirement Planning'!$K$58,IF((SUM(Z482:Z493)-'Retirement Planning'!$I$54-'Retirement Planning'!$I$61)&gt;'Retirement Planning'!$J$57,(SUM(Z482:Z493)-'Retirement Planning'!$I$54-'Retirement Planning'!$I$61-'Retirement Planning'!$J$57)*'Retirement Planning'!$I$58+'Retirement Planning'!$K$57,IF((SUM(Z482:Z493)-'Retirement Planning'!$I$54-'Retirement Planning'!$I$61)&gt;'Retirement Planning'!$J$56,(SUM(Z482:Z493)-'Retirement Planning'!$I$54-'Retirement Planning'!$I$61-'Retirement Planning'!$J$56)*'Retirement Planning'!$I$57+'Retirement Planning'!$K$56,(SUM(Z482:Z493)-'Retirement Planning'!$I$54-'Retirement Planning'!$I$61)*'Retirement Planning'!$I$56))))))/12,AA493)</f>
        <v>1330.2429732746787</v>
      </c>
      <c r="AB494" s="104">
        <f t="shared" ref="AB494:AB500" ca="1" si="223">AB493</f>
        <v>0.19737983436984505</v>
      </c>
      <c r="AC494" s="7">
        <f>IF(B494&lt;65,'Retirement Planning'!$J$28,0)</f>
        <v>0</v>
      </c>
      <c r="AD494" s="7">
        <f>IF(B494&lt;65,'Retirement Planning'!$J$29/12,0)</f>
        <v>0</v>
      </c>
      <c r="AE494" s="22">
        <f>'Retirement Planning'!$J$31/12</f>
        <v>58.333333333333336</v>
      </c>
      <c r="AF494" s="22">
        <f>'Retirement Planning'!$J$32/12</f>
        <v>66.666666666666671</v>
      </c>
      <c r="AG494" s="7">
        <f>IF($B494&gt;64.9,'Retirement Planning'!$J$39/12,0)</f>
        <v>183.33333333333334</v>
      </c>
      <c r="AH494" s="7">
        <f>IF($B494&gt;64.9,'Retirement Planning'!$J$40/12,0)</f>
        <v>258.33333333333331</v>
      </c>
      <c r="AI494" s="7">
        <f>IF($B494&gt;64.9,'Retirement Planning'!$J$41/12,0)</f>
        <v>558.33333333333337</v>
      </c>
      <c r="AJ494" s="7">
        <f t="shared" ca="1" si="203"/>
        <v>316.66666666666663</v>
      </c>
      <c r="AK494" s="3" t="str">
        <f t="shared" ca="1" si="219"/>
        <v>N/A</v>
      </c>
      <c r="AL494" s="6" t="str">
        <f t="shared" ca="1" si="220"/>
        <v>N/A</v>
      </c>
      <c r="AM494" s="7">
        <f t="shared" ca="1" si="204"/>
        <v>-2.2737367544323206E-13</v>
      </c>
      <c r="AN494" s="7">
        <f t="shared" ca="1" si="205"/>
        <v>23009.851534529178</v>
      </c>
      <c r="AO494" s="7">
        <f t="shared" si="206"/>
        <v>1125</v>
      </c>
    </row>
    <row r="495" spans="1:41" x14ac:dyDescent="0.2">
      <c r="A495">
        <f t="shared" si="207"/>
        <v>50</v>
      </c>
      <c r="B495" s="5">
        <f t="shared" si="221"/>
        <v>96.7</v>
      </c>
      <c r="C495" s="56">
        <f t="shared" si="222"/>
        <v>61179</v>
      </c>
      <c r="D495" s="57">
        <f ca="1">IF(AND(B494&lt;59.5,OR(B495&gt;59.5,B495=59.5)),(D494-E494+J494-K494)*(1+'Retirement Planning'!$J$23/12),(D494-E494)*(1+'Retirement Planning'!$J$23/12))</f>
        <v>1456850.6815445505</v>
      </c>
      <c r="E495" s="58">
        <f t="shared" ca="1" si="198"/>
        <v>11333.475828645756</v>
      </c>
      <c r="F495" s="57">
        <f ca="1">IF(AND(OR(B495&gt;59.5,B495=59.5),B494&lt;59.5),(F494-G494+L494-M494+N494-O494)*(1+'Retirement Planning'!$J$23/12),(F494-G494)*(1+'Retirement Planning'!$J$23/12))</f>
        <v>0</v>
      </c>
      <c r="G495" s="58">
        <f ca="1">IF(AND($B$10&lt;55,B495&lt;59.5),'Retirement Planning'!$J$25,IF(OR(B495&gt;59.5,B495=59.5),MAX(0,MIN(F495,IF(D495&lt;2500,((Y495+AJ495+AA495))-X495,((Y495+AJ495+AA495)*'Retirement Planning'!$J$44)-X495))),0))</f>
        <v>0</v>
      </c>
      <c r="H495" s="255">
        <f ca="1">IF(MONTH(C495)=1,IF(B495&gt;69.5,F495/(INDEX('Retirement Planning'!D$1:D$264,(160+INT(B495))))/12,0),IF(F495=0,0,H494))</f>
        <v>0</v>
      </c>
      <c r="I495" s="262">
        <f t="shared" ca="1" si="199"/>
        <v>0</v>
      </c>
      <c r="J495" s="254">
        <f ca="1">IF(AND(B494&lt;59.5,OR(B495=59.5,B495&gt;59.5)),0,(J494-K494)*(1+'Retirement Planning'!$J$23/12))</f>
        <v>0</v>
      </c>
      <c r="K495" s="58">
        <f t="shared" ca="1" si="200"/>
        <v>0</v>
      </c>
      <c r="L495" s="57">
        <f>IF(AND(OR(B495&gt;59.5,B495=59.5),B494&lt;59.5),0,(L494-M494)*(1+'Retirement Planning'!$J$23/12))</f>
        <v>0</v>
      </c>
      <c r="M495" s="59">
        <f>IF(AND($B$10&lt;55,B495&lt;59.5),0,IF(B495&lt;59.5,MAX(0,MIN((($Y495+$AJ495+AA495)*'Retirement Planning'!$J$44)-$G495-$X495,L495)),0))</f>
        <v>0</v>
      </c>
      <c r="N495" s="57">
        <f ca="1">(N494-O494)*(1+'Retirement Planning'!$J$23/12)</f>
        <v>0</v>
      </c>
      <c r="O495" s="59">
        <f ca="1">IF(B495&gt;59.5,MAX(0,MIN((AA495+$Y495+$AJ495)*(IF(D495&lt;(MIN(E483:E494)+1),1,'Retirement Planning'!$J$44))-M495-$G495-$X495-(IF(D495&lt;(MIN(E483:E494)+1),D495,0)),N495)),0)</f>
        <v>0</v>
      </c>
      <c r="P495" s="57">
        <f t="shared" si="210"/>
        <v>0</v>
      </c>
      <c r="Q495" s="58">
        <f t="shared" si="211"/>
        <v>0</v>
      </c>
      <c r="R495" s="57">
        <f ca="1">(R494-S494-T494)*(1+'Retirement Planning'!$J$23/12)</f>
        <v>2815658.0832065241</v>
      </c>
      <c r="S495" s="58">
        <f t="shared" ca="1" si="212"/>
        <v>808.33333333333337</v>
      </c>
      <c r="T495" s="273">
        <f t="shared" ca="1" si="201"/>
        <v>-3.4106051316484809E-12</v>
      </c>
      <c r="U495" s="57">
        <f ca="1">(U494-V494)*(1+'Retirement Planning'!$J$23/12)</f>
        <v>1164755.2425214597</v>
      </c>
      <c r="V495" s="24">
        <f ca="1">IF(AND($B$10&lt;55,B495&lt;59.5),MIN(U495,MAX(0,(Y495+AA495+AJ495-G495)*'Retirement Planning'!$J$45)),IF(B495&lt;59.5,(MIN(U495,MAX(0,((Y495+AA495+AJ495)-G495-M495)*'Retirement Planning'!$J$45))),MIN(U495,MAX(0,(Y495+AA495+AJ495-G495-M495-K495-X495)*'Retirement Planning'!$J$45))))</f>
        <v>9654.442372550091</v>
      </c>
      <c r="W495" s="7">
        <f t="shared" ca="1" si="202"/>
        <v>5437264.0072725341</v>
      </c>
      <c r="X495" s="7">
        <f>(IF(B495&gt;'Retirement Planning'!$J$34,IF('Retirement Planning'!$J$34=70,'Retirement Planning'!$J$37/12,IF('Retirement Planning'!$J$34=67,'Retirement Planning'!$J$36/12,'Retirement Planning'!$J$35/12)),0))*'Retirement Planning'!$J$38</f>
        <v>1213.6000000000001</v>
      </c>
      <c r="Y495" s="7">
        <f ca="1">'Retirement Planning'!$F$35*((1+'Retirement Planning'!$J$24)^(YEAR('Projected Retirement Drawdown'!C495)-YEAR(TODAY())))</f>
        <v>20554.608561254499</v>
      </c>
      <c r="Z495" s="7">
        <f ca="1">G495+M495+O495+0.85*X495+V495*'Retirement Planning'!$J$46+T495</f>
        <v>6341.5033049025469</v>
      </c>
      <c r="AA495" s="7">
        <f ca="1">IF(MONTH(C495)=1,(((MIN(MAX(0,((SUM(Z483:Z494)-'Retirement Planning'!$I$53-'Retirement Planning'!$I$54)-'Retirement Planning'!$J$51)*'Retirement Planning'!$I$52))))+(MIN(MAX(0,((SUM(Z483:Z494)-'Retirement Planning'!$I$53-'Retirement Planning'!$I$54)-'Retirement Planning'!$J$50)*'Retirement Planning'!$I$51),('Retirement Planning'!$J$51-'Retirement Planning'!$J$50)*'Retirement Planning'!$I$51))+(MIN(MAX(0,((SUM(Z483:Z494)-'Retirement Planning'!$I$53-'Retirement Planning'!$I$54)-'Retirement Planning'!$J$49)*'Retirement Planning'!$I$50),('Retirement Planning'!$J$50-'Retirement Planning'!$J$49)*'Retirement Planning'!$I$50)+MIN(MAX(0,((SUM(Z483:Z494)-'Retirement Planning'!$I$53-'Retirement Planning'!$I$54)-'Retirement Planning'!$J$48)*'Retirement Planning'!$I$49),('Retirement Planning'!$J$49-'Retirement Planning'!$J$48)*'Retirement Planning'!$I$49)+MIN(((SUM(Z483:Z494)-'Retirement Planning'!$I$53-'Retirement Planning'!$I$54))*'Retirement Planning'!$I$48,('Retirement Planning'!$J$48)*'Retirement Planning'!$I$48))+(IF((SUM(Z483:Z494)-'Retirement Planning'!$I$54-'Retirement Planning'!$I$61)&gt;'Retirement Planning'!$J$59,(SUM(Z483:Z494)-'Retirement Planning'!$I$54-'Retirement Planning'!$I$61-'Retirement Planning'!$J$59)*'Retirement Planning'!$I$60+'Retirement Planning'!$K$59,IF((SUM(Z483:Z494)-'Retirement Planning'!$I$54-'Retirement Planning'!$I$61)&gt;'Retirement Planning'!$J$58,(SUM(Z483:Z494)-'Retirement Planning'!$I$54-'Retirement Planning'!$I$61-'Retirement Planning'!$J$58)*'Retirement Planning'!$I$59+'Retirement Planning'!$K$58,IF((SUM(Z483:Z494)-'Retirement Planning'!$I$54-'Retirement Planning'!$I$61)&gt;'Retirement Planning'!$J$57,(SUM(Z483:Z494)-'Retirement Planning'!$I$54-'Retirement Planning'!$I$61-'Retirement Planning'!$J$57)*'Retirement Planning'!$I$58+'Retirement Planning'!$K$57,IF((SUM(Z483:Z494)-'Retirement Planning'!$I$54-'Retirement Planning'!$I$61)&gt;'Retirement Planning'!$J$56,(SUM(Z483:Z494)-'Retirement Planning'!$I$54-'Retirement Planning'!$I$61-'Retirement Planning'!$J$56)*'Retirement Planning'!$I$57+'Retirement Planning'!$K$56,(SUM(Z483:Z494)-'Retirement Planning'!$I$54-'Retirement Planning'!$I$61)*'Retirement Planning'!$I$56))))))/12,AA494)</f>
        <v>1330.2429732746787</v>
      </c>
      <c r="AB495" s="104">
        <f t="shared" ca="1" si="223"/>
        <v>0.19737983436984505</v>
      </c>
      <c r="AC495" s="7">
        <f>IF(B495&lt;65,'Retirement Planning'!$J$28,0)</f>
        <v>0</v>
      </c>
      <c r="AD495" s="7">
        <f>IF(B495&lt;65,'Retirement Planning'!$J$29/12,0)</f>
        <v>0</v>
      </c>
      <c r="AE495" s="22">
        <f>'Retirement Planning'!$J$31/12</f>
        <v>58.333333333333336</v>
      </c>
      <c r="AF495" s="22">
        <f>'Retirement Planning'!$J$32/12</f>
        <v>66.666666666666671</v>
      </c>
      <c r="AG495" s="7">
        <f>IF($B495&gt;64.9,'Retirement Planning'!$J$39/12,0)</f>
        <v>183.33333333333334</v>
      </c>
      <c r="AH495" s="7">
        <f>IF($B495&gt;64.9,'Retirement Planning'!$J$40/12,0)</f>
        <v>258.33333333333331</v>
      </c>
      <c r="AI495" s="7">
        <f>IF($B495&gt;64.9,'Retirement Planning'!$J$41/12,0)</f>
        <v>558.33333333333337</v>
      </c>
      <c r="AJ495" s="7">
        <f t="shared" ca="1" si="203"/>
        <v>316.66666666666663</v>
      </c>
      <c r="AK495" s="3" t="str">
        <f t="shared" ca="1" si="219"/>
        <v>N/A</v>
      </c>
      <c r="AL495" s="6" t="str">
        <f t="shared" ca="1" si="220"/>
        <v>N/A</v>
      </c>
      <c r="AM495" s="7">
        <f t="shared" ca="1" si="204"/>
        <v>-2.2737367544323206E-13</v>
      </c>
      <c r="AN495" s="7">
        <f t="shared" ca="1" si="205"/>
        <v>23009.851534529178</v>
      </c>
      <c r="AO495" s="7">
        <f t="shared" si="206"/>
        <v>1125</v>
      </c>
    </row>
    <row r="496" spans="1:41" x14ac:dyDescent="0.2">
      <c r="A496">
        <f t="shared" si="207"/>
        <v>50</v>
      </c>
      <c r="B496" s="5">
        <f t="shared" si="221"/>
        <v>96.8</v>
      </c>
      <c r="C496" s="56">
        <f t="shared" si="222"/>
        <v>61210</v>
      </c>
      <c r="D496" s="57">
        <f ca="1">IF(AND(B495&lt;59.5,OR(B496&gt;59.5,B496=59.5)),(D495-E495+J495-K495)*(1+'Retirement Planning'!$J$23/12),(D495-E495)*(1+'Retirement Planning'!$J$23/12))</f>
        <v>1455756.2859230591</v>
      </c>
      <c r="E496" s="58">
        <f t="shared" ca="1" si="198"/>
        <v>11333.475828645756</v>
      </c>
      <c r="F496" s="57">
        <f ca="1">IF(AND(OR(B496&gt;59.5,B496=59.5),B495&lt;59.5),(F495-G495+L495-M495+N495-O495)*(1+'Retirement Planning'!$J$23/12),(F495-G495)*(1+'Retirement Planning'!$J$23/12))</f>
        <v>0</v>
      </c>
      <c r="G496" s="58">
        <f ca="1">IF(AND($B$10&lt;55,B496&lt;59.5),'Retirement Planning'!$J$25,IF(OR(B496&gt;59.5,B496=59.5),MAX(0,MIN(F496,IF(D496&lt;2500,((Y496+AJ496+AA496))-X496,((Y496+AJ496+AA496)*'Retirement Planning'!$J$44)-X496))),0))</f>
        <v>0</v>
      </c>
      <c r="H496" s="255">
        <f ca="1">IF(MONTH(C496)=1,IF(B496&gt;69.5,F496/(INDEX('Retirement Planning'!D$1:D$264,(160+INT(B496))))/12,0),IF(F496=0,0,H495))</f>
        <v>0</v>
      </c>
      <c r="I496" s="262">
        <f t="shared" ca="1" si="199"/>
        <v>0</v>
      </c>
      <c r="J496" s="254">
        <f ca="1">IF(AND(B495&lt;59.5,OR(B496=59.5,B496&gt;59.5)),0,(J495-K495)*(1+'Retirement Planning'!$J$23/12))</f>
        <v>0</v>
      </c>
      <c r="K496" s="58">
        <f t="shared" ca="1" si="200"/>
        <v>0</v>
      </c>
      <c r="L496" s="57">
        <f>IF(AND(OR(B496&gt;59.5,B496=59.5),B495&lt;59.5),0,(L495-M495)*(1+'Retirement Planning'!$J$23/12))</f>
        <v>0</v>
      </c>
      <c r="M496" s="59">
        <f>IF(AND($B$10&lt;55,B496&lt;59.5),0,IF(B496&lt;59.5,MAX(0,MIN((($Y496+$AJ496+AA496)*'Retirement Planning'!$J$44)-$G496-$X496,L496)),0))</f>
        <v>0</v>
      </c>
      <c r="N496" s="57">
        <f ca="1">(N495-O495)*(1+'Retirement Planning'!$J$23/12)</f>
        <v>0</v>
      </c>
      <c r="O496" s="59">
        <f ca="1">IF(B496&gt;59.5,MAX(0,MIN((AA496+$Y496+$AJ496)*(IF(D496&lt;(MIN(E484:E495)+1),1,'Retirement Planning'!$J$44))-M496-$G496-$X496-(IF(D496&lt;(MIN(E484:E495)+1),D496,0)),N496)),0)</f>
        <v>0</v>
      </c>
      <c r="P496" s="57">
        <f t="shared" si="210"/>
        <v>0</v>
      </c>
      <c r="Q496" s="58">
        <f t="shared" si="211"/>
        <v>0</v>
      </c>
      <c r="R496" s="57">
        <f ca="1">(R495-S495-T495)*(1+'Retirement Planning'!$J$23/12)</f>
        <v>2834788.2689347924</v>
      </c>
      <c r="S496" s="58">
        <f t="shared" ca="1" si="212"/>
        <v>808.33333333333337</v>
      </c>
      <c r="T496" s="273">
        <f t="shared" ca="1" si="201"/>
        <v>-3.4106051316484809E-12</v>
      </c>
      <c r="U496" s="57">
        <f ca="1">(U495-V495)*(1+'Retirement Planning'!$J$23/12)</f>
        <v>1163282.7641499646</v>
      </c>
      <c r="V496" s="24">
        <f ca="1">IF(AND($B$10&lt;55,B496&lt;59.5),MIN(U496,MAX(0,(Y496+AA496+AJ496-G496)*'Retirement Planning'!$J$45)),IF(B496&lt;59.5,(MIN(U496,MAX(0,((Y496+AA496+AJ496)-G496-M496)*'Retirement Planning'!$J$45))),MIN(U496,MAX(0,(Y496+AA496+AJ496-G496-M496-K496-X496)*'Retirement Planning'!$J$45))))</f>
        <v>9654.442372550091</v>
      </c>
      <c r="W496" s="7">
        <f t="shared" ca="1" si="202"/>
        <v>5453827.3190078167</v>
      </c>
      <c r="X496" s="7">
        <f>(IF(B496&gt;'Retirement Planning'!$J$34,IF('Retirement Planning'!$J$34=70,'Retirement Planning'!$J$37/12,IF('Retirement Planning'!$J$34=67,'Retirement Planning'!$J$36/12,'Retirement Planning'!$J$35/12)),0))*'Retirement Planning'!$J$38</f>
        <v>1213.6000000000001</v>
      </c>
      <c r="Y496" s="7">
        <f ca="1">'Retirement Planning'!$F$35*((1+'Retirement Planning'!$J$24)^(YEAR('Projected Retirement Drawdown'!C496)-YEAR(TODAY())))</f>
        <v>20554.608561254499</v>
      </c>
      <c r="Z496" s="7">
        <f ca="1">G496+M496+O496+0.85*X496+V496*'Retirement Planning'!$J$46+T496</f>
        <v>6341.5033049025469</v>
      </c>
      <c r="AA496" s="7">
        <f ca="1">IF(MONTH(C496)=1,(((MIN(MAX(0,((SUM(Z484:Z495)-'Retirement Planning'!$I$53-'Retirement Planning'!$I$54)-'Retirement Planning'!$J$51)*'Retirement Planning'!$I$52))))+(MIN(MAX(0,((SUM(Z484:Z495)-'Retirement Planning'!$I$53-'Retirement Planning'!$I$54)-'Retirement Planning'!$J$50)*'Retirement Planning'!$I$51),('Retirement Planning'!$J$51-'Retirement Planning'!$J$50)*'Retirement Planning'!$I$51))+(MIN(MAX(0,((SUM(Z484:Z495)-'Retirement Planning'!$I$53-'Retirement Planning'!$I$54)-'Retirement Planning'!$J$49)*'Retirement Planning'!$I$50),('Retirement Planning'!$J$50-'Retirement Planning'!$J$49)*'Retirement Planning'!$I$50)+MIN(MAX(0,((SUM(Z484:Z495)-'Retirement Planning'!$I$53-'Retirement Planning'!$I$54)-'Retirement Planning'!$J$48)*'Retirement Planning'!$I$49),('Retirement Planning'!$J$49-'Retirement Planning'!$J$48)*'Retirement Planning'!$I$49)+MIN(((SUM(Z484:Z495)-'Retirement Planning'!$I$53-'Retirement Planning'!$I$54))*'Retirement Planning'!$I$48,('Retirement Planning'!$J$48)*'Retirement Planning'!$I$48))+(IF((SUM(Z484:Z495)-'Retirement Planning'!$I$54-'Retirement Planning'!$I$61)&gt;'Retirement Planning'!$J$59,(SUM(Z484:Z495)-'Retirement Planning'!$I$54-'Retirement Planning'!$I$61-'Retirement Planning'!$J$59)*'Retirement Planning'!$I$60+'Retirement Planning'!$K$59,IF((SUM(Z484:Z495)-'Retirement Planning'!$I$54-'Retirement Planning'!$I$61)&gt;'Retirement Planning'!$J$58,(SUM(Z484:Z495)-'Retirement Planning'!$I$54-'Retirement Planning'!$I$61-'Retirement Planning'!$J$58)*'Retirement Planning'!$I$59+'Retirement Planning'!$K$58,IF((SUM(Z484:Z495)-'Retirement Planning'!$I$54-'Retirement Planning'!$I$61)&gt;'Retirement Planning'!$J$57,(SUM(Z484:Z495)-'Retirement Planning'!$I$54-'Retirement Planning'!$I$61-'Retirement Planning'!$J$57)*'Retirement Planning'!$I$58+'Retirement Planning'!$K$57,IF((SUM(Z484:Z495)-'Retirement Planning'!$I$54-'Retirement Planning'!$I$61)&gt;'Retirement Planning'!$J$56,(SUM(Z484:Z495)-'Retirement Planning'!$I$54-'Retirement Planning'!$I$61-'Retirement Planning'!$J$56)*'Retirement Planning'!$I$57+'Retirement Planning'!$K$56,(SUM(Z484:Z495)-'Retirement Planning'!$I$54-'Retirement Planning'!$I$61)*'Retirement Planning'!$I$56))))))/12,AA495)</f>
        <v>1330.2429732746787</v>
      </c>
      <c r="AB496" s="104">
        <f t="shared" ca="1" si="223"/>
        <v>0.19737983436984505</v>
      </c>
      <c r="AC496" s="7">
        <f>IF(B496&lt;65,'Retirement Planning'!$J$28,0)</f>
        <v>0</v>
      </c>
      <c r="AD496" s="7">
        <f>IF(B496&lt;65,'Retirement Planning'!$J$29/12,0)</f>
        <v>0</v>
      </c>
      <c r="AE496" s="22">
        <f>'Retirement Planning'!$J$31/12</f>
        <v>58.333333333333336</v>
      </c>
      <c r="AF496" s="22">
        <f>'Retirement Planning'!$J$32/12</f>
        <v>66.666666666666671</v>
      </c>
      <c r="AG496" s="7">
        <f>IF($B496&gt;64.9,'Retirement Planning'!$J$39/12,0)</f>
        <v>183.33333333333334</v>
      </c>
      <c r="AH496" s="7">
        <f>IF($B496&gt;64.9,'Retirement Planning'!$J$40/12,0)</f>
        <v>258.33333333333331</v>
      </c>
      <c r="AI496" s="7">
        <f>IF($B496&gt;64.9,'Retirement Planning'!$J$41/12,0)</f>
        <v>558.33333333333337</v>
      </c>
      <c r="AJ496" s="7">
        <f t="shared" ca="1" si="203"/>
        <v>316.66666666666663</v>
      </c>
      <c r="AK496" s="3" t="str">
        <f t="shared" ca="1" si="219"/>
        <v>N/A</v>
      </c>
      <c r="AL496" s="6" t="str">
        <f t="shared" ca="1" si="220"/>
        <v>N/A</v>
      </c>
      <c r="AM496" s="7">
        <f t="shared" ca="1" si="204"/>
        <v>-2.2737367544323206E-13</v>
      </c>
      <c r="AN496" s="7">
        <f t="shared" ca="1" si="205"/>
        <v>23009.851534529178</v>
      </c>
      <c r="AO496" s="7">
        <f t="shared" si="206"/>
        <v>1125</v>
      </c>
    </row>
    <row r="497" spans="1:41" x14ac:dyDescent="0.2">
      <c r="A497">
        <f t="shared" si="207"/>
        <v>50</v>
      </c>
      <c r="B497" s="5">
        <f t="shared" si="221"/>
        <v>96.9</v>
      </c>
      <c r="C497" s="56">
        <f t="shared" si="222"/>
        <v>61241</v>
      </c>
      <c r="D497" s="57">
        <f ca="1">IF(AND(B496&lt;59.5,OR(B497&gt;59.5,B497=59.5)),(D496-E496+J496-K496)*(1+'Retirement Planning'!$J$23/12),(D496-E496)*(1+'Retirement Planning'!$J$23/12))</f>
        <v>1454654.1383325821</v>
      </c>
      <c r="E497" s="58">
        <f t="shared" ca="1" si="198"/>
        <v>11333.475828645756</v>
      </c>
      <c r="F497" s="57">
        <f ca="1">IF(AND(OR(B497&gt;59.5,B497=59.5),B496&lt;59.5),(F496-G496+L496-M496+N496-O496)*(1+'Retirement Planning'!$J$23/12),(F496-G496)*(1+'Retirement Planning'!$J$23/12))</f>
        <v>0</v>
      </c>
      <c r="G497" s="58">
        <f ca="1">IF(AND($B$10&lt;55,B497&lt;59.5),'Retirement Planning'!$J$25,IF(OR(B497&gt;59.5,B497=59.5),MAX(0,MIN(F497,IF(D497&lt;2500,((Y497+AJ497+AA497))-X497,((Y497+AJ497+AA497)*'Retirement Planning'!$J$44)-X497))),0))</f>
        <v>0</v>
      </c>
      <c r="H497" s="255">
        <f ca="1">IF(MONTH(C497)=1,IF(B497&gt;69.5,F497/(INDEX('Retirement Planning'!D$1:D$264,(160+INT(B497))))/12,0),IF(F497=0,0,H496))</f>
        <v>0</v>
      </c>
      <c r="I497" s="262">
        <f t="shared" ca="1" si="199"/>
        <v>0</v>
      </c>
      <c r="J497" s="254">
        <f ca="1">IF(AND(B496&lt;59.5,OR(B497=59.5,B497&gt;59.5)),0,(J496-K496)*(1+'Retirement Planning'!$J$23/12))</f>
        <v>0</v>
      </c>
      <c r="K497" s="58">
        <f t="shared" ca="1" si="200"/>
        <v>0</v>
      </c>
      <c r="L497" s="57">
        <f>IF(AND(OR(B497&gt;59.5,B497=59.5),B496&lt;59.5),0,(L496-M496)*(1+'Retirement Planning'!$J$23/12))</f>
        <v>0</v>
      </c>
      <c r="M497" s="59">
        <f>IF(AND($B$10&lt;55,B497&lt;59.5),0,IF(B497&lt;59.5,MAX(0,MIN((($Y497+$AJ497+AA497)*'Retirement Planning'!$J$44)-$G497-$X497,L497)),0))</f>
        <v>0</v>
      </c>
      <c r="N497" s="57">
        <f ca="1">(N496-O496)*(1+'Retirement Planning'!$J$23/12)</f>
        <v>0</v>
      </c>
      <c r="O497" s="59">
        <f ca="1">IF(B497&gt;59.5,MAX(0,MIN((AA497+$Y497+$AJ497)*(IF(D497&lt;(MIN(E485:E496)+1),1,'Retirement Planning'!$J$44))-M497-$G497-$X497-(IF(D497&lt;(MIN(E485:E496)+1),D497,0)),N497)),0)</f>
        <v>0</v>
      </c>
      <c r="P497" s="57">
        <f t="shared" si="210"/>
        <v>0</v>
      </c>
      <c r="Q497" s="58">
        <f t="shared" si="211"/>
        <v>0</v>
      </c>
      <c r="R497" s="57">
        <f ca="1">(R496-S496-T496)*(1+'Retirement Planning'!$J$23/12)</f>
        <v>2854053.9601453026</v>
      </c>
      <c r="S497" s="58">
        <f t="shared" ca="1" si="212"/>
        <v>808.33333333333337</v>
      </c>
      <c r="T497" s="273">
        <f t="shared" ca="1" si="201"/>
        <v>-3.4106051316484809E-12</v>
      </c>
      <c r="U497" s="57">
        <f ca="1">(U496-V496)*(1+'Retirement Planning'!$J$23/12)</f>
        <v>1161799.855723338</v>
      </c>
      <c r="V497" s="24">
        <f ca="1">IF(AND($B$10&lt;55,B497&lt;59.5),MIN(U497,MAX(0,(Y497+AA497+AJ497-G497)*'Retirement Planning'!$J$45)),IF(B497&lt;59.5,(MIN(U497,MAX(0,((Y497+AA497+AJ497)-G497-M497)*'Retirement Planning'!$J$45))),MIN(U497,MAX(0,(Y497+AA497+AJ497-G497-M497-K497-X497)*'Retirement Planning'!$J$45))))</f>
        <v>9654.442372550091</v>
      </c>
      <c r="W497" s="7">
        <f t="shared" ca="1" si="202"/>
        <v>5470507.9542012233</v>
      </c>
      <c r="X497" s="7">
        <f>(IF(B497&gt;'Retirement Planning'!$J$34,IF('Retirement Planning'!$J$34=70,'Retirement Planning'!$J$37/12,IF('Retirement Planning'!$J$34=67,'Retirement Planning'!$J$36/12,'Retirement Planning'!$J$35/12)),0))*'Retirement Planning'!$J$38</f>
        <v>1213.6000000000001</v>
      </c>
      <c r="Y497" s="7">
        <f ca="1">'Retirement Planning'!$F$35*((1+'Retirement Planning'!$J$24)^(YEAR('Projected Retirement Drawdown'!C497)-YEAR(TODAY())))</f>
        <v>20554.608561254499</v>
      </c>
      <c r="Z497" s="7">
        <f ca="1">G497+M497+O497+0.85*X497+V497*'Retirement Planning'!$J$46+T497</f>
        <v>6341.5033049025469</v>
      </c>
      <c r="AA497" s="7">
        <f ca="1">IF(MONTH(C497)=1,(((MIN(MAX(0,((SUM(Z485:Z496)-'Retirement Planning'!$I$53-'Retirement Planning'!$I$54)-'Retirement Planning'!$J$51)*'Retirement Planning'!$I$52))))+(MIN(MAX(0,((SUM(Z485:Z496)-'Retirement Planning'!$I$53-'Retirement Planning'!$I$54)-'Retirement Planning'!$J$50)*'Retirement Planning'!$I$51),('Retirement Planning'!$J$51-'Retirement Planning'!$J$50)*'Retirement Planning'!$I$51))+(MIN(MAX(0,((SUM(Z485:Z496)-'Retirement Planning'!$I$53-'Retirement Planning'!$I$54)-'Retirement Planning'!$J$49)*'Retirement Planning'!$I$50),('Retirement Planning'!$J$50-'Retirement Planning'!$J$49)*'Retirement Planning'!$I$50)+MIN(MAX(0,((SUM(Z485:Z496)-'Retirement Planning'!$I$53-'Retirement Planning'!$I$54)-'Retirement Planning'!$J$48)*'Retirement Planning'!$I$49),('Retirement Planning'!$J$49-'Retirement Planning'!$J$48)*'Retirement Planning'!$I$49)+MIN(((SUM(Z485:Z496)-'Retirement Planning'!$I$53-'Retirement Planning'!$I$54))*'Retirement Planning'!$I$48,('Retirement Planning'!$J$48)*'Retirement Planning'!$I$48))+(IF((SUM(Z485:Z496)-'Retirement Planning'!$I$54-'Retirement Planning'!$I$61)&gt;'Retirement Planning'!$J$59,(SUM(Z485:Z496)-'Retirement Planning'!$I$54-'Retirement Planning'!$I$61-'Retirement Planning'!$J$59)*'Retirement Planning'!$I$60+'Retirement Planning'!$K$59,IF((SUM(Z485:Z496)-'Retirement Planning'!$I$54-'Retirement Planning'!$I$61)&gt;'Retirement Planning'!$J$58,(SUM(Z485:Z496)-'Retirement Planning'!$I$54-'Retirement Planning'!$I$61-'Retirement Planning'!$J$58)*'Retirement Planning'!$I$59+'Retirement Planning'!$K$58,IF((SUM(Z485:Z496)-'Retirement Planning'!$I$54-'Retirement Planning'!$I$61)&gt;'Retirement Planning'!$J$57,(SUM(Z485:Z496)-'Retirement Planning'!$I$54-'Retirement Planning'!$I$61-'Retirement Planning'!$J$57)*'Retirement Planning'!$I$58+'Retirement Planning'!$K$57,IF((SUM(Z485:Z496)-'Retirement Planning'!$I$54-'Retirement Planning'!$I$61)&gt;'Retirement Planning'!$J$56,(SUM(Z485:Z496)-'Retirement Planning'!$I$54-'Retirement Planning'!$I$61-'Retirement Planning'!$J$56)*'Retirement Planning'!$I$57+'Retirement Planning'!$K$56,(SUM(Z485:Z496)-'Retirement Planning'!$I$54-'Retirement Planning'!$I$61)*'Retirement Planning'!$I$56))))))/12,AA496)</f>
        <v>1330.2429732746787</v>
      </c>
      <c r="AB497" s="104">
        <f t="shared" ca="1" si="223"/>
        <v>0.19737983436984505</v>
      </c>
      <c r="AC497" s="7">
        <f>IF(B497&lt;65,'Retirement Planning'!$J$28,0)</f>
        <v>0</v>
      </c>
      <c r="AD497" s="7">
        <f>IF(B497&lt;65,'Retirement Planning'!$J$29/12,0)</f>
        <v>0</v>
      </c>
      <c r="AE497" s="22">
        <f>'Retirement Planning'!$J$31/12</f>
        <v>58.333333333333336</v>
      </c>
      <c r="AF497" s="22">
        <f>'Retirement Planning'!$J$32/12</f>
        <v>66.666666666666671</v>
      </c>
      <c r="AG497" s="7">
        <f>IF($B497&gt;64.9,'Retirement Planning'!$J$39/12,0)</f>
        <v>183.33333333333334</v>
      </c>
      <c r="AH497" s="7">
        <f>IF($B497&gt;64.9,'Retirement Planning'!$J$40/12,0)</f>
        <v>258.33333333333331</v>
      </c>
      <c r="AI497" s="7">
        <f>IF($B497&gt;64.9,'Retirement Planning'!$J$41/12,0)</f>
        <v>558.33333333333337</v>
      </c>
      <c r="AJ497" s="7">
        <f t="shared" ca="1" si="203"/>
        <v>316.66666666666663</v>
      </c>
      <c r="AK497" s="3" t="str">
        <f t="shared" ca="1" si="219"/>
        <v>N/A</v>
      </c>
      <c r="AL497" s="6" t="str">
        <f t="shared" ca="1" si="220"/>
        <v>N/A</v>
      </c>
      <c r="AM497" s="7">
        <f t="shared" ca="1" si="204"/>
        <v>-2.2737367544323206E-13</v>
      </c>
      <c r="AN497" s="7">
        <f t="shared" ca="1" si="205"/>
        <v>23009.851534529178</v>
      </c>
      <c r="AO497" s="7">
        <f t="shared" si="206"/>
        <v>1125</v>
      </c>
    </row>
    <row r="498" spans="1:41" x14ac:dyDescent="0.2">
      <c r="A498">
        <f t="shared" si="207"/>
        <v>50</v>
      </c>
      <c r="B498" s="5">
        <f t="shared" si="221"/>
        <v>97</v>
      </c>
      <c r="C498" s="56">
        <f t="shared" si="222"/>
        <v>61271</v>
      </c>
      <c r="D498" s="57">
        <f ca="1">IF(AND(B497&lt;59.5,OR(B498&gt;59.5,B498=59.5)),(D497-E497+J497-K497)*(1+'Retirement Planning'!$J$23/12),(D497-E497)*(1+'Retirement Planning'!$J$23/12))</f>
        <v>1453544.1838633392</v>
      </c>
      <c r="E498" s="58">
        <f t="shared" ca="1" si="198"/>
        <v>11333.475828645756</v>
      </c>
      <c r="F498" s="57">
        <f ca="1">IF(AND(OR(B498&gt;59.5,B498=59.5),B497&lt;59.5),(F497-G497+L497-M497+N497-O497)*(1+'Retirement Planning'!$J$23/12),(F497-G497)*(1+'Retirement Planning'!$J$23/12))</f>
        <v>0</v>
      </c>
      <c r="G498" s="58">
        <f ca="1">IF(AND($B$10&lt;55,B498&lt;59.5),'Retirement Planning'!$J$25,IF(OR(B498&gt;59.5,B498=59.5),MAX(0,MIN(F498,IF(D498&lt;2500,((Y498+AJ498+AA498))-X498,((Y498+AJ498+AA498)*'Retirement Planning'!$J$44)-X498))),0))</f>
        <v>0</v>
      </c>
      <c r="H498" s="255">
        <f ca="1">IF(MONTH(C498)=1,IF(B498&gt;69.5,F498/(INDEX('Retirement Planning'!D$1:D$264,(160+INT(B498))))/12,0),IF(F498=0,0,H497))</f>
        <v>0</v>
      </c>
      <c r="I498" s="262">
        <f t="shared" ca="1" si="199"/>
        <v>0</v>
      </c>
      <c r="J498" s="254">
        <f ca="1">IF(AND(B497&lt;59.5,OR(B498=59.5,B498&gt;59.5)),0,(J497-K497)*(1+'Retirement Planning'!$J$23/12))</f>
        <v>0</v>
      </c>
      <c r="K498" s="58">
        <f t="shared" ca="1" si="200"/>
        <v>0</v>
      </c>
      <c r="L498" s="57">
        <f>IF(AND(OR(B498&gt;59.5,B498=59.5),B497&lt;59.5),0,(L497-M497)*(1+'Retirement Planning'!$J$23/12))</f>
        <v>0</v>
      </c>
      <c r="M498" s="59">
        <f>IF(AND($B$10&lt;55,B498&lt;59.5),0,IF(B498&lt;59.5,MAX(0,MIN((($Y498+$AJ498+AA498)*'Retirement Planning'!$J$44)-$G498-$X498,L498)),0))</f>
        <v>0</v>
      </c>
      <c r="N498" s="57">
        <f ca="1">(N497-O497)*(1+'Retirement Planning'!$J$23/12)</f>
        <v>0</v>
      </c>
      <c r="O498" s="59">
        <f ca="1">IF(B498&gt;59.5,MAX(0,MIN((AA498+$Y498+$AJ498)*(IF(D498&lt;(MIN(E486:E497)+1),1,'Retirement Planning'!$J$44))-M498-$G498-$X498-(IF(D498&lt;(MIN(E486:E497)+1),D498,0)),N498)),0)</f>
        <v>0</v>
      </c>
      <c r="P498" s="57">
        <f t="shared" si="210"/>
        <v>0</v>
      </c>
      <c r="Q498" s="58">
        <f t="shared" si="211"/>
        <v>0</v>
      </c>
      <c r="R498" s="57">
        <f ca="1">(R497-S497-T497)*(1+'Retirement Planning'!$J$23/12)</f>
        <v>2873456.116668554</v>
      </c>
      <c r="S498" s="58">
        <f t="shared" ca="1" si="212"/>
        <v>808.33333333333337</v>
      </c>
      <c r="T498" s="273">
        <f t="shared" ca="1" si="201"/>
        <v>-3.4106051316484809E-12</v>
      </c>
      <c r="U498" s="57">
        <f ca="1">(U497-V497)*(1+'Retirement Planning'!$J$23/12)</f>
        <v>1160306.4433620228</v>
      </c>
      <c r="V498" s="24">
        <f ca="1">IF(AND($B$10&lt;55,B498&lt;59.5),MIN(U498,MAX(0,(Y498+AA498+AJ498-G498)*'Retirement Planning'!$J$45)),IF(B498&lt;59.5,(MIN(U498,MAX(0,((Y498+AA498+AJ498)-G498-M498)*'Retirement Planning'!$J$45))),MIN(U498,MAX(0,(Y498+AA498+AJ498-G498-M498-K498-X498)*'Retirement Planning'!$J$45))))</f>
        <v>9654.442372550091</v>
      </c>
      <c r="W498" s="7">
        <f t="shared" ca="1" si="202"/>
        <v>5487306.7438939158</v>
      </c>
      <c r="X498" s="7">
        <f>(IF(B498&gt;'Retirement Planning'!$J$34,IF('Retirement Planning'!$J$34=70,'Retirement Planning'!$J$37/12,IF('Retirement Planning'!$J$34=67,'Retirement Planning'!$J$36/12,'Retirement Planning'!$J$35/12)),0))*'Retirement Planning'!$J$38</f>
        <v>1213.6000000000001</v>
      </c>
      <c r="Y498" s="7">
        <f ca="1">'Retirement Planning'!$F$35*((1+'Retirement Planning'!$J$24)^(YEAR('Projected Retirement Drawdown'!C498)-YEAR(TODAY())))</f>
        <v>20554.608561254499</v>
      </c>
      <c r="Z498" s="7">
        <f ca="1">G498+M498+O498+0.85*X498+V498*'Retirement Planning'!$J$46+T498</f>
        <v>6341.5033049025469</v>
      </c>
      <c r="AA498" s="7">
        <f ca="1">IF(MONTH(C498)=1,(((MIN(MAX(0,((SUM(Z486:Z497)-'Retirement Planning'!$I$53-'Retirement Planning'!$I$54)-'Retirement Planning'!$J$51)*'Retirement Planning'!$I$52))))+(MIN(MAX(0,((SUM(Z486:Z497)-'Retirement Planning'!$I$53-'Retirement Planning'!$I$54)-'Retirement Planning'!$J$50)*'Retirement Planning'!$I$51),('Retirement Planning'!$J$51-'Retirement Planning'!$J$50)*'Retirement Planning'!$I$51))+(MIN(MAX(0,((SUM(Z486:Z497)-'Retirement Planning'!$I$53-'Retirement Planning'!$I$54)-'Retirement Planning'!$J$49)*'Retirement Planning'!$I$50),('Retirement Planning'!$J$50-'Retirement Planning'!$J$49)*'Retirement Planning'!$I$50)+MIN(MAX(0,((SUM(Z486:Z497)-'Retirement Planning'!$I$53-'Retirement Planning'!$I$54)-'Retirement Planning'!$J$48)*'Retirement Planning'!$I$49),('Retirement Planning'!$J$49-'Retirement Planning'!$J$48)*'Retirement Planning'!$I$49)+MIN(((SUM(Z486:Z497)-'Retirement Planning'!$I$53-'Retirement Planning'!$I$54))*'Retirement Planning'!$I$48,('Retirement Planning'!$J$48)*'Retirement Planning'!$I$48))+(IF((SUM(Z486:Z497)-'Retirement Planning'!$I$54-'Retirement Planning'!$I$61)&gt;'Retirement Planning'!$J$59,(SUM(Z486:Z497)-'Retirement Planning'!$I$54-'Retirement Planning'!$I$61-'Retirement Planning'!$J$59)*'Retirement Planning'!$I$60+'Retirement Planning'!$K$59,IF((SUM(Z486:Z497)-'Retirement Planning'!$I$54-'Retirement Planning'!$I$61)&gt;'Retirement Planning'!$J$58,(SUM(Z486:Z497)-'Retirement Planning'!$I$54-'Retirement Planning'!$I$61-'Retirement Planning'!$J$58)*'Retirement Planning'!$I$59+'Retirement Planning'!$K$58,IF((SUM(Z486:Z497)-'Retirement Planning'!$I$54-'Retirement Planning'!$I$61)&gt;'Retirement Planning'!$J$57,(SUM(Z486:Z497)-'Retirement Planning'!$I$54-'Retirement Planning'!$I$61-'Retirement Planning'!$J$57)*'Retirement Planning'!$I$58+'Retirement Planning'!$K$57,IF((SUM(Z486:Z497)-'Retirement Planning'!$I$54-'Retirement Planning'!$I$61)&gt;'Retirement Planning'!$J$56,(SUM(Z486:Z497)-'Retirement Planning'!$I$54-'Retirement Planning'!$I$61-'Retirement Planning'!$J$56)*'Retirement Planning'!$I$57+'Retirement Planning'!$K$56,(SUM(Z486:Z497)-'Retirement Planning'!$I$54-'Retirement Planning'!$I$61)*'Retirement Planning'!$I$56))))))/12,AA497)</f>
        <v>1330.2429732746787</v>
      </c>
      <c r="AB498" s="104">
        <f t="shared" ca="1" si="223"/>
        <v>0.19737983436984505</v>
      </c>
      <c r="AC498" s="7">
        <f>IF(B498&lt;65,'Retirement Planning'!$J$28,0)</f>
        <v>0</v>
      </c>
      <c r="AD498" s="7">
        <f>IF(B498&lt;65,'Retirement Planning'!$J$29/12,0)</f>
        <v>0</v>
      </c>
      <c r="AE498" s="22">
        <f>'Retirement Planning'!$J$31/12</f>
        <v>58.333333333333336</v>
      </c>
      <c r="AF498" s="22">
        <f>'Retirement Planning'!$J$32/12</f>
        <v>66.666666666666671</v>
      </c>
      <c r="AG498" s="7">
        <f>IF($B498&gt;64.9,'Retirement Planning'!$J$39/12,0)</f>
        <v>183.33333333333334</v>
      </c>
      <c r="AH498" s="7">
        <f>IF($B498&gt;64.9,'Retirement Planning'!$J$40/12,0)</f>
        <v>258.33333333333331</v>
      </c>
      <c r="AI498" s="7">
        <f>IF($B498&gt;64.9,'Retirement Planning'!$J$41/12,0)</f>
        <v>558.33333333333337</v>
      </c>
      <c r="AJ498" s="7">
        <f t="shared" ca="1" si="203"/>
        <v>316.66666666666663</v>
      </c>
      <c r="AK498" s="3" t="str">
        <f t="shared" ca="1" si="219"/>
        <v>N/A</v>
      </c>
      <c r="AL498" s="6" t="str">
        <f t="shared" ca="1" si="220"/>
        <v>N/A</v>
      </c>
      <c r="AM498" s="7">
        <f t="shared" ca="1" si="204"/>
        <v>-2.2737367544323206E-13</v>
      </c>
      <c r="AN498" s="7">
        <f t="shared" ca="1" si="205"/>
        <v>23009.851534529178</v>
      </c>
      <c r="AO498" s="7">
        <f t="shared" si="206"/>
        <v>1125</v>
      </c>
    </row>
    <row r="499" spans="1:41" x14ac:dyDescent="0.2">
      <c r="A499">
        <f t="shared" si="207"/>
        <v>50</v>
      </c>
      <c r="B499" s="5">
        <f t="shared" si="221"/>
        <v>97</v>
      </c>
      <c r="C499" s="56">
        <f t="shared" si="222"/>
        <v>61302</v>
      </c>
      <c r="D499" s="57">
        <f ca="1">IF(AND(B498&lt;59.5,OR(B499&gt;59.5,B499=59.5)),(D498-E498+J498-K498)*(1+'Retirement Planning'!$J$23/12),(D498-E498)*(1+'Retirement Planning'!$J$23/12))</f>
        <v>1452426.3672166059</v>
      </c>
      <c r="E499" s="58">
        <f t="shared" ca="1" si="198"/>
        <v>11333.475828645756</v>
      </c>
      <c r="F499" s="57">
        <f ca="1">IF(AND(OR(B499&gt;59.5,B499=59.5),B498&lt;59.5),(F498-G498+L498-M498+N498-O498)*(1+'Retirement Planning'!$J$23/12),(F498-G498)*(1+'Retirement Planning'!$J$23/12))</f>
        <v>0</v>
      </c>
      <c r="G499" s="58">
        <f ca="1">IF(AND($B$10&lt;55,B499&lt;59.5),'Retirement Planning'!$J$25,IF(OR(B499&gt;59.5,B499=59.5),MAX(0,MIN(F499,IF(D499&lt;2500,((Y499+AJ499+AA499))-X499,((Y499+AJ499+AA499)*'Retirement Planning'!$J$44)-X499))),0))</f>
        <v>0</v>
      </c>
      <c r="H499" s="255">
        <f ca="1">IF(MONTH(C499)=1,IF(B499&gt;69.5,F499/(INDEX('Retirement Planning'!D$1:D$264,(160+INT(B499))))/12,0),IF(F499=0,0,H498))</f>
        <v>0</v>
      </c>
      <c r="I499" s="262">
        <f t="shared" ca="1" si="199"/>
        <v>0</v>
      </c>
      <c r="J499" s="254">
        <f ca="1">IF(AND(B498&lt;59.5,OR(B499=59.5,B499&gt;59.5)),0,(J498-K498)*(1+'Retirement Planning'!$J$23/12))</f>
        <v>0</v>
      </c>
      <c r="K499" s="58">
        <f t="shared" ca="1" si="200"/>
        <v>0</v>
      </c>
      <c r="L499" s="57">
        <f>IF(AND(OR(B499&gt;59.5,B499=59.5),B498&lt;59.5),0,(L498-M498)*(1+'Retirement Planning'!$J$23/12))</f>
        <v>0</v>
      </c>
      <c r="M499" s="59">
        <f>IF(AND($B$10&lt;55,B499&lt;59.5),0,IF(B499&lt;59.5,MAX(0,MIN((($Y499+$AJ499+AA499)*'Retirement Planning'!$J$44)-$G499-$X499,L499)),0))</f>
        <v>0</v>
      </c>
      <c r="N499" s="57">
        <f ca="1">(N498-O498)*(1+'Retirement Planning'!$J$23/12)</f>
        <v>0</v>
      </c>
      <c r="O499" s="59">
        <f ca="1">IF(B499&gt;59.5,MAX(0,MIN((AA499+$Y499+$AJ499)*(IF(D499&lt;(MIN(E487:E498)+1),1,'Retirement Planning'!$J$44))-M499-$G499-$X499-(IF(D499&lt;(MIN(E487:E498)+1),D499,0)),N499)),0)</f>
        <v>0</v>
      </c>
      <c r="P499" s="57">
        <f t="shared" si="210"/>
        <v>0</v>
      </c>
      <c r="Q499" s="58">
        <f t="shared" si="211"/>
        <v>0</v>
      </c>
      <c r="R499" s="57">
        <f ca="1">(R498-S498-T498)*(1+'Retirement Planning'!$J$23/12)</f>
        <v>2892995.7051338451</v>
      </c>
      <c r="S499" s="58">
        <f t="shared" ca="1" si="212"/>
        <v>808.33333333333337</v>
      </c>
      <c r="T499" s="273">
        <f t="shared" ca="1" si="201"/>
        <v>-3.4106051316484809E-12</v>
      </c>
      <c r="U499" s="57">
        <f ca="1">(U498-V498)*(1+'Retirement Planning'!$J$23/12)</f>
        <v>1158802.4526631481</v>
      </c>
      <c r="V499" s="24">
        <f ca="1">IF(AND($B$10&lt;55,B499&lt;59.5),MIN(U499,MAX(0,(Y499+AA499+AJ499-G499)*'Retirement Planning'!$J$45)),IF(B499&lt;59.5,(MIN(U499,MAX(0,((Y499+AA499+AJ499)-G499-M499)*'Retirement Planning'!$J$45))),MIN(U499,MAX(0,(Y499+AA499+AJ499-G499-M499-K499-X499)*'Retirement Planning'!$J$45))))</f>
        <v>9654.442372550091</v>
      </c>
      <c r="W499" s="7">
        <f t="shared" ca="1" si="202"/>
        <v>5504224.5250135986</v>
      </c>
      <c r="X499" s="7">
        <f>(IF(B499&gt;'Retirement Planning'!$J$34,IF('Retirement Planning'!$J$34=70,'Retirement Planning'!$J$37/12,IF('Retirement Planning'!$J$34=67,'Retirement Planning'!$J$36/12,'Retirement Planning'!$J$35/12)),0))*'Retirement Planning'!$J$38</f>
        <v>1213.6000000000001</v>
      </c>
      <c r="Y499" s="7">
        <f ca="1">'Retirement Planning'!$F$35*((1+'Retirement Planning'!$J$24)^(YEAR('Projected Retirement Drawdown'!C499)-YEAR(TODAY())))</f>
        <v>20554.608561254499</v>
      </c>
      <c r="Z499" s="7">
        <f ca="1">G499+M499+O499+0.85*X499+V499*'Retirement Planning'!$J$46+T499</f>
        <v>6341.5033049025469</v>
      </c>
      <c r="AA499" s="7">
        <f ca="1">IF(MONTH(C499)=1,(((MIN(MAX(0,((SUM(Z487:Z498)-'Retirement Planning'!$I$53-'Retirement Planning'!$I$54)-'Retirement Planning'!$J$51)*'Retirement Planning'!$I$52))))+(MIN(MAX(0,((SUM(Z487:Z498)-'Retirement Planning'!$I$53-'Retirement Planning'!$I$54)-'Retirement Planning'!$J$50)*'Retirement Planning'!$I$51),('Retirement Planning'!$J$51-'Retirement Planning'!$J$50)*'Retirement Planning'!$I$51))+(MIN(MAX(0,((SUM(Z487:Z498)-'Retirement Planning'!$I$53-'Retirement Planning'!$I$54)-'Retirement Planning'!$J$49)*'Retirement Planning'!$I$50),('Retirement Planning'!$J$50-'Retirement Planning'!$J$49)*'Retirement Planning'!$I$50)+MIN(MAX(0,((SUM(Z487:Z498)-'Retirement Planning'!$I$53-'Retirement Planning'!$I$54)-'Retirement Planning'!$J$48)*'Retirement Planning'!$I$49),('Retirement Planning'!$J$49-'Retirement Planning'!$J$48)*'Retirement Planning'!$I$49)+MIN(((SUM(Z487:Z498)-'Retirement Planning'!$I$53-'Retirement Planning'!$I$54))*'Retirement Planning'!$I$48,('Retirement Planning'!$J$48)*'Retirement Planning'!$I$48))+(IF((SUM(Z487:Z498)-'Retirement Planning'!$I$54-'Retirement Planning'!$I$61)&gt;'Retirement Planning'!$J$59,(SUM(Z487:Z498)-'Retirement Planning'!$I$54-'Retirement Planning'!$I$61-'Retirement Planning'!$J$59)*'Retirement Planning'!$I$60+'Retirement Planning'!$K$59,IF((SUM(Z487:Z498)-'Retirement Planning'!$I$54-'Retirement Planning'!$I$61)&gt;'Retirement Planning'!$J$58,(SUM(Z487:Z498)-'Retirement Planning'!$I$54-'Retirement Planning'!$I$61-'Retirement Planning'!$J$58)*'Retirement Planning'!$I$59+'Retirement Planning'!$K$58,IF((SUM(Z487:Z498)-'Retirement Planning'!$I$54-'Retirement Planning'!$I$61)&gt;'Retirement Planning'!$J$57,(SUM(Z487:Z498)-'Retirement Planning'!$I$54-'Retirement Planning'!$I$61-'Retirement Planning'!$J$57)*'Retirement Planning'!$I$58+'Retirement Planning'!$K$57,IF((SUM(Z487:Z498)-'Retirement Planning'!$I$54-'Retirement Planning'!$I$61)&gt;'Retirement Planning'!$J$56,(SUM(Z487:Z498)-'Retirement Planning'!$I$54-'Retirement Planning'!$I$61-'Retirement Planning'!$J$56)*'Retirement Planning'!$I$57+'Retirement Planning'!$K$56,(SUM(Z487:Z498)-'Retirement Planning'!$I$54-'Retirement Planning'!$I$61)*'Retirement Planning'!$I$56))))))/12,AA498)</f>
        <v>1330.2429732746787</v>
      </c>
      <c r="AB499" s="104">
        <f t="shared" ca="1" si="223"/>
        <v>0.19737983436984505</v>
      </c>
      <c r="AC499" s="7">
        <f>IF(B499&lt;65,'Retirement Planning'!$J$28,0)</f>
        <v>0</v>
      </c>
      <c r="AD499" s="7">
        <f>IF(B499&lt;65,'Retirement Planning'!$J$29/12,0)</f>
        <v>0</v>
      </c>
      <c r="AE499" s="22">
        <f>'Retirement Planning'!$J$31/12</f>
        <v>58.333333333333336</v>
      </c>
      <c r="AF499" s="22">
        <f>'Retirement Planning'!$J$32/12</f>
        <v>66.666666666666671</v>
      </c>
      <c r="AG499" s="7">
        <f>IF($B499&gt;64.9,'Retirement Planning'!$J$39/12,0)</f>
        <v>183.33333333333334</v>
      </c>
      <c r="AH499" s="7">
        <f>IF($B499&gt;64.9,'Retirement Planning'!$J$40/12,0)</f>
        <v>258.33333333333331</v>
      </c>
      <c r="AI499" s="7">
        <f>IF($B499&gt;64.9,'Retirement Planning'!$J$41/12,0)</f>
        <v>558.33333333333337</v>
      </c>
      <c r="AJ499" s="7">
        <f t="shared" ca="1" si="203"/>
        <v>316.66666666666663</v>
      </c>
      <c r="AK499" s="3" t="str">
        <f t="shared" ca="1" si="219"/>
        <v>N/A</v>
      </c>
      <c r="AL499" s="6" t="str">
        <f t="shared" ca="1" si="220"/>
        <v>N/A</v>
      </c>
      <c r="AM499" s="7">
        <f t="shared" ca="1" si="204"/>
        <v>-2.2737367544323206E-13</v>
      </c>
      <c r="AN499" s="7">
        <f t="shared" ca="1" si="205"/>
        <v>23009.851534529178</v>
      </c>
      <c r="AO499" s="7">
        <f t="shared" si="206"/>
        <v>1125</v>
      </c>
    </row>
    <row r="500" spans="1:41" x14ac:dyDescent="0.2">
      <c r="A500">
        <f t="shared" si="207"/>
        <v>50</v>
      </c>
      <c r="B500" s="5">
        <f t="shared" si="221"/>
        <v>97.1</v>
      </c>
      <c r="C500" s="56">
        <f t="shared" si="222"/>
        <v>61332</v>
      </c>
      <c r="D500" s="57">
        <f ca="1">IF(AND(B499&lt;59.5,OR(B500&gt;59.5,B500=59.5)),(D499-E499+J499-K499)*(1+'Retirement Planning'!$J$23/12),(D499-E499)*(1+'Retirement Planning'!$J$23/12))</f>
        <v>1451300.6327019583</v>
      </c>
      <c r="E500" s="58">
        <f t="shared" ca="1" si="198"/>
        <v>11333.475828645756</v>
      </c>
      <c r="F500" s="57">
        <f ca="1">IF(AND(OR(B500&gt;59.5,B500=59.5),B499&lt;59.5),(F499-G499+L499-M499+N499-O499)*(1+'Retirement Planning'!$J$23/12),(F499-G499)*(1+'Retirement Planning'!$J$23/12))</f>
        <v>0</v>
      </c>
      <c r="G500" s="58">
        <f ca="1">IF(AND($B$10&lt;55,B500&lt;59.5),'Retirement Planning'!$J$25,IF(OR(B500&gt;59.5,B500=59.5),MAX(0,MIN(F500,IF(D500&lt;2500,((Y500+AJ500+AA500))-X500,((Y500+AJ500+AA500)*'Retirement Planning'!$J$44)-X500))),0))</f>
        <v>0</v>
      </c>
      <c r="H500" s="255">
        <f ca="1">IF(MONTH(C500)=1,IF(B500&gt;69.5,F500/(INDEX('Retirement Planning'!D$1:D$264,(160+INT(B500))))/12,0),IF(F500=0,0,H499))</f>
        <v>0</v>
      </c>
      <c r="I500" s="262">
        <f t="shared" ca="1" si="199"/>
        <v>0</v>
      </c>
      <c r="J500" s="254">
        <f ca="1">IF(AND(B499&lt;59.5,OR(B500=59.5,B500&gt;59.5)),0,(J499-K499)*(1+'Retirement Planning'!$J$23/12))</f>
        <v>0</v>
      </c>
      <c r="K500" s="58">
        <f t="shared" ca="1" si="200"/>
        <v>0</v>
      </c>
      <c r="L500" s="57">
        <f>IF(AND(OR(B500&gt;59.5,B500=59.5),B499&lt;59.5),0,(L499-M499)*(1+'Retirement Planning'!$J$23/12))</f>
        <v>0</v>
      </c>
      <c r="M500" s="59">
        <f>IF(AND($B$10&lt;55,B500&lt;59.5),0,IF(B500&lt;59.5,MAX(0,MIN((($Y500+$AJ500+AA500)*'Retirement Planning'!$J$44)-$G500-$X500,L500)),0))</f>
        <v>0</v>
      </c>
      <c r="N500" s="57">
        <f ca="1">(N499-O499)*(1+'Retirement Planning'!$J$23/12)</f>
        <v>0</v>
      </c>
      <c r="O500" s="59">
        <f ca="1">IF(B500&gt;59.5,MAX(0,MIN((AA500+$Y500+$AJ500)*(IF(D500&lt;(MIN(E488:E499)+1),1,'Retirement Planning'!$J$44))-M500-$G500-$X500-(IF(D500&lt;(MIN(E488:E499)+1),D500,0)),N500)),0)</f>
        <v>0</v>
      </c>
      <c r="P500" s="57">
        <f t="shared" si="210"/>
        <v>0</v>
      </c>
      <c r="Q500" s="58">
        <f t="shared" si="211"/>
        <v>0</v>
      </c>
      <c r="R500" s="57">
        <f ca="1">(R499-S499-T499)*(1+'Retirement Planning'!$J$23/12)</f>
        <v>2912673.6990174321</v>
      </c>
      <c r="S500" s="58">
        <f t="shared" ca="1" si="212"/>
        <v>808.33333333333337</v>
      </c>
      <c r="T500" s="273">
        <f t="shared" ca="1" si="201"/>
        <v>-3.4106051316484809E-12</v>
      </c>
      <c r="U500" s="57">
        <f ca="1">(U499-V499)*(1+'Retirement Planning'!$J$23/12)</f>
        <v>1157287.8086968232</v>
      </c>
      <c r="V500" s="24">
        <f ca="1">IF(AND($B$10&lt;55,B500&lt;59.5),MIN(U500,MAX(0,(Y500+AA500+AJ500-G500)*'Retirement Planning'!$J$45)),IF(B500&lt;59.5,(MIN(U500,MAX(0,((Y500+AA500+AJ500)-G500-M500)*'Retirement Planning'!$J$45))),MIN(U500,MAX(0,(Y500+AA500+AJ500-G500-M500-K500-X500)*'Retirement Planning'!$J$45))))</f>
        <v>9654.442372550091</v>
      </c>
      <c r="W500" s="7">
        <f t="shared" ca="1" si="202"/>
        <v>5521262.1404162133</v>
      </c>
      <c r="X500" s="7">
        <f>(IF(B500&gt;'Retirement Planning'!$J$34,IF('Retirement Planning'!$J$34=70,'Retirement Planning'!$J$37/12,IF('Retirement Planning'!$J$34=67,'Retirement Planning'!$J$36/12,'Retirement Planning'!$J$35/12)),0))*'Retirement Planning'!$J$38</f>
        <v>1213.6000000000001</v>
      </c>
      <c r="Y500" s="7">
        <f ca="1">'Retirement Planning'!$F$35*((1+'Retirement Planning'!$J$24)^(YEAR('Projected Retirement Drawdown'!C500)-YEAR(TODAY())))</f>
        <v>20554.608561254499</v>
      </c>
      <c r="Z500" s="7">
        <f ca="1">G500+M500+O500+0.85*X500+V500*'Retirement Planning'!$J$46+T500</f>
        <v>6341.5033049025469</v>
      </c>
      <c r="AA500" s="7">
        <f ca="1">IF(MONTH(C500)=1,(((MIN(MAX(0,((SUM(Z488:Z499)-'Retirement Planning'!$I$53-'Retirement Planning'!$I$54)-'Retirement Planning'!$J$51)*'Retirement Planning'!$I$52))))+(MIN(MAX(0,((SUM(Z488:Z499)-'Retirement Planning'!$I$53-'Retirement Planning'!$I$54)-'Retirement Planning'!$J$50)*'Retirement Planning'!$I$51),('Retirement Planning'!$J$51-'Retirement Planning'!$J$50)*'Retirement Planning'!$I$51))+(MIN(MAX(0,((SUM(Z488:Z499)-'Retirement Planning'!$I$53-'Retirement Planning'!$I$54)-'Retirement Planning'!$J$49)*'Retirement Planning'!$I$50),('Retirement Planning'!$J$50-'Retirement Planning'!$J$49)*'Retirement Planning'!$I$50)+MIN(MAX(0,((SUM(Z488:Z499)-'Retirement Planning'!$I$53-'Retirement Planning'!$I$54)-'Retirement Planning'!$J$48)*'Retirement Planning'!$I$49),('Retirement Planning'!$J$49-'Retirement Planning'!$J$48)*'Retirement Planning'!$I$49)+MIN(((SUM(Z488:Z499)-'Retirement Planning'!$I$53-'Retirement Planning'!$I$54))*'Retirement Planning'!$I$48,('Retirement Planning'!$J$48)*'Retirement Planning'!$I$48))+(IF((SUM(Z488:Z499)-'Retirement Planning'!$I$54-'Retirement Planning'!$I$61)&gt;'Retirement Planning'!$J$59,(SUM(Z488:Z499)-'Retirement Planning'!$I$54-'Retirement Planning'!$I$61-'Retirement Planning'!$J$59)*'Retirement Planning'!$I$60+'Retirement Planning'!$K$59,IF((SUM(Z488:Z499)-'Retirement Planning'!$I$54-'Retirement Planning'!$I$61)&gt;'Retirement Planning'!$J$58,(SUM(Z488:Z499)-'Retirement Planning'!$I$54-'Retirement Planning'!$I$61-'Retirement Planning'!$J$58)*'Retirement Planning'!$I$59+'Retirement Planning'!$K$58,IF((SUM(Z488:Z499)-'Retirement Planning'!$I$54-'Retirement Planning'!$I$61)&gt;'Retirement Planning'!$J$57,(SUM(Z488:Z499)-'Retirement Planning'!$I$54-'Retirement Planning'!$I$61-'Retirement Planning'!$J$57)*'Retirement Planning'!$I$58+'Retirement Planning'!$K$57,IF((SUM(Z488:Z499)-'Retirement Planning'!$I$54-'Retirement Planning'!$I$61)&gt;'Retirement Planning'!$J$56,(SUM(Z488:Z499)-'Retirement Planning'!$I$54-'Retirement Planning'!$I$61-'Retirement Planning'!$J$56)*'Retirement Planning'!$I$57+'Retirement Planning'!$K$56,(SUM(Z488:Z499)-'Retirement Planning'!$I$54-'Retirement Planning'!$I$61)*'Retirement Planning'!$I$56))))))/12,AA499)</f>
        <v>1330.2429732746787</v>
      </c>
      <c r="AB500" s="104">
        <f t="shared" ca="1" si="223"/>
        <v>0.19737983436984505</v>
      </c>
      <c r="AC500" s="7">
        <f>IF(B500&lt;65,'Retirement Planning'!$J$28,0)</f>
        <v>0</v>
      </c>
      <c r="AD500" s="7">
        <f>IF(B500&lt;65,'Retirement Planning'!$J$29/12,0)</f>
        <v>0</v>
      </c>
      <c r="AE500" s="22">
        <f>'Retirement Planning'!$J$31/12</f>
        <v>58.333333333333336</v>
      </c>
      <c r="AF500" s="22">
        <f>'Retirement Planning'!$J$32/12</f>
        <v>66.666666666666671</v>
      </c>
      <c r="AG500" s="7">
        <f>IF($B500&gt;64.9,'Retirement Planning'!$J$39/12,0)</f>
        <v>183.33333333333334</v>
      </c>
      <c r="AH500" s="7">
        <f>IF($B500&gt;64.9,'Retirement Planning'!$J$40/12,0)</f>
        <v>258.33333333333331</v>
      </c>
      <c r="AI500" s="7">
        <f>IF($B500&gt;64.9,'Retirement Planning'!$J$41/12,0)</f>
        <v>558.33333333333337</v>
      </c>
      <c r="AJ500" s="7">
        <f t="shared" ca="1" si="203"/>
        <v>316.66666666666663</v>
      </c>
      <c r="AK500" s="3" t="str">
        <f t="shared" ca="1" si="219"/>
        <v>N/A</v>
      </c>
      <c r="AL500" s="6" t="str">
        <f t="shared" ca="1" si="220"/>
        <v>N/A</v>
      </c>
      <c r="AM500" s="7">
        <f t="shared" ca="1" si="204"/>
        <v>-2.2737367544323206E-13</v>
      </c>
      <c r="AN500" s="7">
        <f t="shared" ca="1" si="205"/>
        <v>23009.851534529178</v>
      </c>
      <c r="AO500" s="7">
        <f t="shared" si="206"/>
        <v>1125</v>
      </c>
    </row>
    <row r="501" spans="1:41" x14ac:dyDescent="0.2">
      <c r="A501">
        <f t="shared" si="207"/>
        <v>50</v>
      </c>
      <c r="B501" s="5">
        <f t="shared" si="221"/>
        <v>97.2</v>
      </c>
      <c r="C501" s="56">
        <f t="shared" si="222"/>
        <v>61363</v>
      </c>
      <c r="D501" s="57">
        <f ca="1">IF(AND(B500&lt;59.5,OR(B501&gt;59.5,B501=59.5)),(D500-E500+J500-K500)*(1+'Retirement Planning'!$J$23/12),(D500-E500)*(1+'Retirement Planning'!$J$23/12))</f>
        <v>1450166.9242344985</v>
      </c>
      <c r="E501" s="58">
        <f t="shared" ca="1" si="198"/>
        <v>11659.114580716028</v>
      </c>
      <c r="F501" s="57">
        <f ca="1">IF(AND(OR(B501&gt;59.5,B501=59.5),B500&lt;59.5),(F500-G500+L500-M500+N500-O500)*(1+'Retirement Planning'!$J$23/12),(F500-G500)*(1+'Retirement Planning'!$J$23/12))</f>
        <v>0</v>
      </c>
      <c r="G501" s="58">
        <f ca="1">IF(AND($B$10&lt;55,B501&lt;59.5),'Retirement Planning'!$J$25,IF(OR(B501&gt;59.5,B501=59.5),MAX(0,MIN(F501,IF(D501&lt;2500,((Y501+AJ501+AA501))-X501,((Y501+AJ501+AA501)*'Retirement Planning'!$J$44)-X501))),0))</f>
        <v>0</v>
      </c>
      <c r="H501" s="255">
        <f ca="1">IF(MONTH(C501)=1,IF(B501&gt;69.5,F501/(INDEX('Retirement Planning'!D$1:D$264,(160+INT(B501))))/12,0),IF(F501=0,0,H500))</f>
        <v>0</v>
      </c>
      <c r="I501" s="262">
        <f t="shared" ca="1" si="199"/>
        <v>0</v>
      </c>
      <c r="J501" s="254">
        <f ca="1">IF(AND(B500&lt;59.5,OR(B501=59.5,B501&gt;59.5)),0,(J500-K500)*(1+'Retirement Planning'!$J$23/12))</f>
        <v>0</v>
      </c>
      <c r="K501" s="58">
        <f t="shared" ca="1" si="200"/>
        <v>0</v>
      </c>
      <c r="L501" s="57">
        <f>IF(AND(OR(B501&gt;59.5,B501=59.5),B500&lt;59.5),0,(L500-M500)*(1+'Retirement Planning'!$J$23/12))</f>
        <v>0</v>
      </c>
      <c r="M501" s="59">
        <f>IF(AND($B$10&lt;55,B501&lt;59.5),0,IF(B501&lt;59.5,MAX(0,MIN((($Y501+$AJ501+AA501)*'Retirement Planning'!$J$44)-$G501-$X501,L501)),0))</f>
        <v>0</v>
      </c>
      <c r="N501" s="57">
        <f ca="1">(N500-O500)*(1+'Retirement Planning'!$J$23/12)</f>
        <v>0</v>
      </c>
      <c r="O501" s="59">
        <f ca="1">IF(B501&gt;59.5,MAX(0,MIN((AA501+$Y501+$AJ501)*(IF(D501&lt;(MIN(E489:E500)+1),1,'Retirement Planning'!$J$44))-M501-$G501-$X501-(IF(D501&lt;(MIN(E489:E500)+1),D501,0)),N501)),0)</f>
        <v>0</v>
      </c>
      <c r="P501" s="57">
        <f t="shared" si="210"/>
        <v>0</v>
      </c>
      <c r="Q501" s="58">
        <f t="shared" si="211"/>
        <v>0</v>
      </c>
      <c r="R501" s="57">
        <f ca="1">(R500-S500-T500)*(1+'Retirement Planning'!$J$23/12)</f>
        <v>2932491.0786910276</v>
      </c>
      <c r="S501" s="58">
        <f t="shared" ca="1" si="212"/>
        <v>808.33333333333337</v>
      </c>
      <c r="T501" s="273">
        <f t="shared" ca="1" si="201"/>
        <v>-3.4106051316484809E-12</v>
      </c>
      <c r="U501" s="57">
        <f ca="1">(U500-V500)*(1+'Retirement Planning'!$J$23/12)</f>
        <v>1155762.4360024035</v>
      </c>
      <c r="V501" s="24">
        <f ca="1">IF(AND($B$10&lt;55,B501&lt;59.5),MIN(U501,MAX(0,(Y501+AA501+AJ501-G501)*'Retirement Planning'!$J$45)),IF(B501&lt;59.5,(MIN(U501,MAX(0,((Y501+AA501+AJ501)-G501-M501)*'Retirement Planning'!$J$45))),MIN(U501,MAX(0,(Y501+AA501+AJ501-G501-M501-K501-X501)*'Retirement Planning'!$J$45))))</f>
        <v>9931.8383465358784</v>
      </c>
      <c r="W501" s="7">
        <f t="shared" ca="1" si="202"/>
        <v>5538420.4389279298</v>
      </c>
      <c r="X501" s="7">
        <f>(IF(B501&gt;'Retirement Planning'!$J$34,IF('Retirement Planning'!$J$34=70,'Retirement Planning'!$J$37/12,IF('Retirement Planning'!$J$34=67,'Retirement Planning'!$J$36/12,'Retirement Planning'!$J$35/12)),0))*'Retirement Planning'!$J$38</f>
        <v>1213.6000000000001</v>
      </c>
      <c r="Y501" s="7">
        <f ca="1">'Retirement Planning'!$F$35*((1+'Retirement Planning'!$J$24)^(YEAR('Projected Retirement Drawdown'!C501)-YEAR(TODAY())))</f>
        <v>21274.019860898399</v>
      </c>
      <c r="Z501" s="7">
        <f ca="1">G501+M501+O501+0.85*X501+V501*'Retirement Planning'!$J$46+T501</f>
        <v>6494.0710905947299</v>
      </c>
      <c r="AA501" s="7">
        <f ca="1">IF(MONTH(C501)=1,(((MIN(MAX(0,((SUM(Z489:Z500)-'Retirement Planning'!$I$53-'Retirement Planning'!$I$54)-'Retirement Planning'!$J$51)*'Retirement Planning'!$I$52))))+(MIN(MAX(0,((SUM(Z489:Z500)-'Retirement Planning'!$I$53-'Retirement Planning'!$I$54)-'Retirement Planning'!$J$50)*'Retirement Planning'!$I$51),('Retirement Planning'!$J$51-'Retirement Planning'!$J$50)*'Retirement Planning'!$I$51))+(MIN(MAX(0,((SUM(Z489:Z500)-'Retirement Planning'!$I$53-'Retirement Planning'!$I$54)-'Retirement Planning'!$J$49)*'Retirement Planning'!$I$50),('Retirement Planning'!$J$50-'Retirement Planning'!$J$49)*'Retirement Planning'!$I$50)+MIN(MAX(0,((SUM(Z489:Z500)-'Retirement Planning'!$I$53-'Retirement Planning'!$I$54)-'Retirement Planning'!$J$48)*'Retirement Planning'!$I$49),('Retirement Planning'!$J$49-'Retirement Planning'!$J$48)*'Retirement Planning'!$I$49)+MIN(((SUM(Z489:Z500)-'Retirement Planning'!$I$53-'Retirement Planning'!$I$54))*'Retirement Planning'!$I$48,('Retirement Planning'!$J$48)*'Retirement Planning'!$I$48))+(IF((SUM(Z489:Z500)-'Retirement Planning'!$I$54-'Retirement Planning'!$I$61)&gt;'Retirement Planning'!$J$59,(SUM(Z489:Z500)-'Retirement Planning'!$I$54-'Retirement Planning'!$I$61-'Retirement Planning'!$J$59)*'Retirement Planning'!$I$60+'Retirement Planning'!$K$59,IF((SUM(Z489:Z500)-'Retirement Planning'!$I$54-'Retirement Planning'!$I$61)&gt;'Retirement Planning'!$J$58,(SUM(Z489:Z500)-'Retirement Planning'!$I$54-'Retirement Planning'!$I$61-'Retirement Planning'!$J$58)*'Retirement Planning'!$I$59+'Retirement Planning'!$K$58,IF((SUM(Z489:Z500)-'Retirement Planning'!$I$54-'Retirement Planning'!$I$61)&gt;'Retirement Planning'!$J$57,(SUM(Z489:Z500)-'Retirement Planning'!$I$54-'Retirement Planning'!$I$61-'Retirement Planning'!$J$57)*'Retirement Planning'!$I$58+'Retirement Planning'!$K$57,IF((SUM(Z489:Z500)-'Retirement Planning'!$I$54-'Retirement Planning'!$I$61)&gt;'Retirement Planning'!$J$56,(SUM(Z489:Z500)-'Retirement Planning'!$I$54-'Retirement Planning'!$I$61-'Retirement Planning'!$J$56)*'Retirement Planning'!$I$57+'Retirement Planning'!$K$56,(SUM(Z489:Z500)-'Retirement Planning'!$I$54-'Retirement Planning'!$I$61)*'Retirement Planning'!$I$56))))))/12,AA500)</f>
        <v>1213.8663996868379</v>
      </c>
      <c r="AB501" s="104">
        <f t="shared" ref="AB501:AB504" ca="1" si="224">(AA501*12)/SUM(Z485:Z496)</f>
        <v>0.18749370366011991</v>
      </c>
      <c r="AC501" s="7">
        <f>IF(B501&lt;65,'Retirement Planning'!$J$28,0)</f>
        <v>0</v>
      </c>
      <c r="AD501" s="7">
        <f>IF(B501&lt;65,'Retirement Planning'!$J$29/12,0)</f>
        <v>0</v>
      </c>
      <c r="AE501" s="22">
        <f>'Retirement Planning'!$J$31/12</f>
        <v>58.333333333333336</v>
      </c>
      <c r="AF501" s="22">
        <f>'Retirement Planning'!$J$32/12</f>
        <v>66.666666666666671</v>
      </c>
      <c r="AG501" s="7">
        <f>IF($B501&gt;64.9,'Retirement Planning'!$J$39/12,0)</f>
        <v>183.33333333333334</v>
      </c>
      <c r="AH501" s="7">
        <f>IF($B501&gt;64.9,'Retirement Planning'!$J$40/12,0)</f>
        <v>258.33333333333331</v>
      </c>
      <c r="AI501" s="7">
        <f>IF($B501&gt;64.9,'Retirement Planning'!$J$41/12,0)</f>
        <v>558.33333333333337</v>
      </c>
      <c r="AJ501" s="7">
        <f t="shared" ca="1" si="203"/>
        <v>316.66666666666663</v>
      </c>
      <c r="AK501" s="3" t="str">
        <f t="shared" ca="1" si="219"/>
        <v>N/A</v>
      </c>
      <c r="AL501" s="6" t="str">
        <f t="shared" ca="1" si="220"/>
        <v>N/A</v>
      </c>
      <c r="AM501" s="7">
        <f t="shared" ca="1" si="204"/>
        <v>-2.2737367544323206E-13</v>
      </c>
      <c r="AN501" s="7">
        <f t="shared" ca="1" si="205"/>
        <v>23612.886260585237</v>
      </c>
      <c r="AO501" s="7">
        <f t="shared" si="206"/>
        <v>1125</v>
      </c>
    </row>
    <row r="502" spans="1:41" x14ac:dyDescent="0.2">
      <c r="A502">
        <f t="shared" si="207"/>
        <v>50</v>
      </c>
      <c r="B502" s="5">
        <f t="shared" si="221"/>
        <v>97.3</v>
      </c>
      <c r="C502" s="56">
        <f t="shared" si="222"/>
        <v>61394</v>
      </c>
      <c r="D502" s="57">
        <f ca="1">IF(AND(B501&lt;59.5,OR(B502&gt;59.5,B502=59.5)),(D501-E501+J501-K501)*(1+'Retirement Planning'!$J$23/12),(D501-E501)*(1+'Retirement Planning'!$J$23/12))</f>
        <v>1448697.2399721635</v>
      </c>
      <c r="E502" s="58">
        <f t="shared" ca="1" si="198"/>
        <v>11659.114580716028</v>
      </c>
      <c r="F502" s="57">
        <f ca="1">IF(AND(OR(B502&gt;59.5,B502=59.5),B501&lt;59.5),(F501-G501+L501-M501+N501-O501)*(1+'Retirement Planning'!$J$23/12),(F501-G501)*(1+'Retirement Planning'!$J$23/12))</f>
        <v>0</v>
      </c>
      <c r="G502" s="58">
        <f ca="1">IF(AND($B$10&lt;55,B502&lt;59.5),'Retirement Planning'!$J$25,IF(OR(B502&gt;59.5,B502=59.5),MAX(0,MIN(F502,IF(D502&lt;2500,((Y502+AJ502+AA502))-X502,((Y502+AJ502+AA502)*'Retirement Planning'!$J$44)-X502))),0))</f>
        <v>0</v>
      </c>
      <c r="H502" s="255">
        <f ca="1">IF(MONTH(C502)=1,IF(B502&gt;69.5,F502/(INDEX('Retirement Planning'!D$1:D$264,(160+INT(B502))))/12,0),IF(F502=0,0,H501))</f>
        <v>0</v>
      </c>
      <c r="I502" s="262">
        <f t="shared" ca="1" si="199"/>
        <v>0</v>
      </c>
      <c r="J502" s="254">
        <f ca="1">IF(AND(B501&lt;59.5,OR(B502=59.5,B502&gt;59.5)),0,(J501-K501)*(1+'Retirement Planning'!$J$23/12))</f>
        <v>0</v>
      </c>
      <c r="K502" s="58">
        <f t="shared" ca="1" si="200"/>
        <v>0</v>
      </c>
      <c r="L502" s="57">
        <f>IF(AND(OR(B502&gt;59.5,B502=59.5),B501&lt;59.5),0,(L501-M501)*(1+'Retirement Planning'!$J$23/12))</f>
        <v>0</v>
      </c>
      <c r="M502" s="59">
        <f>IF(AND($B$10&lt;55,B502&lt;59.5),0,IF(B502&lt;59.5,MAX(0,MIN((($Y502+$AJ502+AA502)*'Retirement Planning'!$J$44)-$G502-$X502,L502)),0))</f>
        <v>0</v>
      </c>
      <c r="N502" s="57">
        <f ca="1">(N501-O501)*(1+'Retirement Planning'!$J$23/12)</f>
        <v>0</v>
      </c>
      <c r="O502" s="59">
        <f ca="1">IF(B502&gt;59.5,MAX(0,MIN((AA502+$Y502+$AJ502)*(IF(D502&lt;(MIN(E490:E501)+1),1,'Retirement Planning'!$J$44))-M502-$G502-$X502-(IF(D502&lt;(MIN(E490:E501)+1),D502,0)),N502)),0)</f>
        <v>0</v>
      </c>
      <c r="P502" s="57">
        <f t="shared" si="210"/>
        <v>0</v>
      </c>
      <c r="Q502" s="58">
        <f t="shared" si="211"/>
        <v>0</v>
      </c>
      <c r="R502" s="57">
        <f ca="1">(R501-S501-T501)*(1+'Retirement Planning'!$J$23/12)</f>
        <v>2952448.8314706446</v>
      </c>
      <c r="S502" s="58">
        <f t="shared" ca="1" si="212"/>
        <v>808.33333333333337</v>
      </c>
      <c r="T502" s="273">
        <f t="shared" ca="1" si="201"/>
        <v>-3.4106051316484809E-12</v>
      </c>
      <c r="U502" s="57">
        <f ca="1">(U501-V501)*(1+'Retirement Planning'!$J$23/12)</f>
        <v>1153946.8977225968</v>
      </c>
      <c r="V502" s="24">
        <f ca="1">IF(AND($B$10&lt;55,B502&lt;59.5),MIN(U502,MAX(0,(Y502+AA502+AJ502-G502)*'Retirement Planning'!$J$45)),IF(B502&lt;59.5,(MIN(U502,MAX(0,((Y502+AA502+AJ502)-G502-M502)*'Retirement Planning'!$J$45))),MIN(U502,MAX(0,(Y502+AA502+AJ502-G502-M502-K502-X502)*'Retirement Planning'!$J$45))))</f>
        <v>9931.8383465358784</v>
      </c>
      <c r="W502" s="7">
        <f t="shared" ca="1" si="202"/>
        <v>5555092.9691654053</v>
      </c>
      <c r="X502" s="7">
        <f>(IF(B502&gt;'Retirement Planning'!$J$34,IF('Retirement Planning'!$J$34=70,'Retirement Planning'!$J$37/12,IF('Retirement Planning'!$J$34=67,'Retirement Planning'!$J$36/12,'Retirement Planning'!$J$35/12)),0))*'Retirement Planning'!$J$38</f>
        <v>1213.6000000000001</v>
      </c>
      <c r="Y502" s="7">
        <f ca="1">'Retirement Planning'!$F$35*((1+'Retirement Planning'!$J$24)^(YEAR('Projected Retirement Drawdown'!C502)-YEAR(TODAY())))</f>
        <v>21274.019860898399</v>
      </c>
      <c r="Z502" s="7">
        <f ca="1">G502+M502+O502+0.85*X502+V502*'Retirement Planning'!$J$46+T502</f>
        <v>6494.0710905947299</v>
      </c>
      <c r="AA502" s="7">
        <f ca="1">IF(MONTH(C502)=1,(((MIN(MAX(0,((SUM(Z490:Z501)-'Retirement Planning'!$I$53-'Retirement Planning'!$I$54)-'Retirement Planning'!$J$51)*'Retirement Planning'!$I$52))))+(MIN(MAX(0,((SUM(Z490:Z501)-'Retirement Planning'!$I$53-'Retirement Planning'!$I$54)-'Retirement Planning'!$J$50)*'Retirement Planning'!$I$51),('Retirement Planning'!$J$51-'Retirement Planning'!$J$50)*'Retirement Planning'!$I$51))+(MIN(MAX(0,((SUM(Z490:Z501)-'Retirement Planning'!$I$53-'Retirement Planning'!$I$54)-'Retirement Planning'!$J$49)*'Retirement Planning'!$I$50),('Retirement Planning'!$J$50-'Retirement Planning'!$J$49)*'Retirement Planning'!$I$50)+MIN(MAX(0,((SUM(Z490:Z501)-'Retirement Planning'!$I$53-'Retirement Planning'!$I$54)-'Retirement Planning'!$J$48)*'Retirement Planning'!$I$49),('Retirement Planning'!$J$49-'Retirement Planning'!$J$48)*'Retirement Planning'!$I$49)+MIN(((SUM(Z490:Z501)-'Retirement Planning'!$I$53-'Retirement Planning'!$I$54))*'Retirement Planning'!$I$48,('Retirement Planning'!$J$48)*'Retirement Planning'!$I$48))+(IF((SUM(Z490:Z501)-'Retirement Planning'!$I$54-'Retirement Planning'!$I$61)&gt;'Retirement Planning'!$J$59,(SUM(Z490:Z501)-'Retirement Planning'!$I$54-'Retirement Planning'!$I$61-'Retirement Planning'!$J$59)*'Retirement Planning'!$I$60+'Retirement Planning'!$K$59,IF((SUM(Z490:Z501)-'Retirement Planning'!$I$54-'Retirement Planning'!$I$61)&gt;'Retirement Planning'!$J$58,(SUM(Z490:Z501)-'Retirement Planning'!$I$54-'Retirement Planning'!$I$61-'Retirement Planning'!$J$58)*'Retirement Planning'!$I$59+'Retirement Planning'!$K$58,IF((SUM(Z490:Z501)-'Retirement Planning'!$I$54-'Retirement Planning'!$I$61)&gt;'Retirement Planning'!$J$57,(SUM(Z490:Z501)-'Retirement Planning'!$I$54-'Retirement Planning'!$I$61-'Retirement Planning'!$J$57)*'Retirement Planning'!$I$58+'Retirement Planning'!$K$57,IF((SUM(Z490:Z501)-'Retirement Planning'!$I$54-'Retirement Planning'!$I$61)&gt;'Retirement Planning'!$J$56,(SUM(Z490:Z501)-'Retirement Planning'!$I$54-'Retirement Planning'!$I$61-'Retirement Planning'!$J$56)*'Retirement Planning'!$I$57+'Retirement Planning'!$K$56,(SUM(Z490:Z501)-'Retirement Planning'!$I$54-'Retirement Planning'!$I$61)*'Retirement Planning'!$I$56))))))/12,AA501)</f>
        <v>1213.8663996868379</v>
      </c>
      <c r="AB502" s="104">
        <f t="shared" ca="1" si="224"/>
        <v>0.18845917645080298</v>
      </c>
      <c r="AC502" s="7">
        <f>IF(B502&lt;65,'Retirement Planning'!$J$28,0)</f>
        <v>0</v>
      </c>
      <c r="AD502" s="7">
        <f>IF(B502&lt;65,'Retirement Planning'!$J$29/12,0)</f>
        <v>0</v>
      </c>
      <c r="AE502" s="22">
        <f>'Retirement Planning'!$J$31/12</f>
        <v>58.333333333333336</v>
      </c>
      <c r="AF502" s="22">
        <f>'Retirement Planning'!$J$32/12</f>
        <v>66.666666666666671</v>
      </c>
      <c r="AG502" s="7">
        <f>IF($B502&gt;64.9,'Retirement Planning'!$J$39/12,0)</f>
        <v>183.33333333333334</v>
      </c>
      <c r="AH502" s="7">
        <f>IF($B502&gt;64.9,'Retirement Planning'!$J$40/12,0)</f>
        <v>258.33333333333331</v>
      </c>
      <c r="AI502" s="7">
        <f>IF($B502&gt;64.9,'Retirement Planning'!$J$41/12,0)</f>
        <v>558.33333333333337</v>
      </c>
      <c r="AJ502" s="7">
        <f t="shared" ca="1" si="203"/>
        <v>316.66666666666663</v>
      </c>
      <c r="AK502" s="3" t="str">
        <f t="shared" ca="1" si="219"/>
        <v>N/A</v>
      </c>
      <c r="AL502" s="6" t="str">
        <f t="shared" ca="1" si="220"/>
        <v>N/A</v>
      </c>
      <c r="AM502" s="7">
        <f t="shared" ca="1" si="204"/>
        <v>-2.2737367544323206E-13</v>
      </c>
      <c r="AN502" s="7">
        <f t="shared" ca="1" si="205"/>
        <v>23612.886260585237</v>
      </c>
      <c r="AO502" s="7">
        <f t="shared" si="206"/>
        <v>1125</v>
      </c>
    </row>
    <row r="503" spans="1:41" x14ac:dyDescent="0.2">
      <c r="A503">
        <f t="shared" si="207"/>
        <v>50</v>
      </c>
      <c r="B503" s="5">
        <f t="shared" si="221"/>
        <v>97.4</v>
      </c>
      <c r="C503" s="56">
        <f t="shared" si="222"/>
        <v>61423</v>
      </c>
      <c r="D503" s="57">
        <f ca="1">IF(AND(B502&lt;59.5,OR(B503&gt;59.5,B503=59.5)),(D502-E502+J502-K502)*(1+'Retirement Planning'!$J$23/12),(D502-E502)*(1+'Retirement Planning'!$J$23/12))</f>
        <v>1447217.1454463035</v>
      </c>
      <c r="E503" s="58">
        <f t="shared" ca="1" si="198"/>
        <v>11659.114580716028</v>
      </c>
      <c r="F503" s="57">
        <f ca="1">IF(AND(OR(B503&gt;59.5,B503=59.5),B502&lt;59.5),(F502-G502+L502-M502+N502-O502)*(1+'Retirement Planning'!$J$23/12),(F502-G502)*(1+'Retirement Planning'!$J$23/12))</f>
        <v>0</v>
      </c>
      <c r="G503" s="58">
        <f ca="1">IF(AND($B$10&lt;55,B503&lt;59.5),'Retirement Planning'!$J$25,IF(OR(B503&gt;59.5,B503=59.5),MAX(0,MIN(F503,IF(D503&lt;2500,((Y503+AJ503+AA503))-X503,((Y503+AJ503+AA503)*'Retirement Planning'!$J$44)-X503))),0))</f>
        <v>0</v>
      </c>
      <c r="H503" s="255">
        <f ca="1">IF(MONTH(C503)=1,IF(B503&gt;69.5,F503/(INDEX('Retirement Planning'!D$1:D$264,(160+INT(B503))))/12,0),IF(F503=0,0,H502))</f>
        <v>0</v>
      </c>
      <c r="I503" s="262">
        <f t="shared" ca="1" si="199"/>
        <v>0</v>
      </c>
      <c r="J503" s="254">
        <f ca="1">IF(AND(B502&lt;59.5,OR(B503=59.5,B503&gt;59.5)),0,(J502-K502)*(1+'Retirement Planning'!$J$23/12))</f>
        <v>0</v>
      </c>
      <c r="K503" s="58">
        <f t="shared" ca="1" si="200"/>
        <v>0</v>
      </c>
      <c r="L503" s="57">
        <f>IF(AND(OR(B503&gt;59.5,B503=59.5),B502&lt;59.5),0,(L502-M502)*(1+'Retirement Planning'!$J$23/12))</f>
        <v>0</v>
      </c>
      <c r="M503" s="59">
        <f>IF(AND($B$10&lt;55,B503&lt;59.5),0,IF(B503&lt;59.5,MAX(0,MIN((($Y503+$AJ503+AA503)*'Retirement Planning'!$J$44)-$G503-$X503,L503)),0))</f>
        <v>0</v>
      </c>
      <c r="N503" s="57">
        <f ca="1">(N502-O502)*(1+'Retirement Planning'!$J$23/12)</f>
        <v>0</v>
      </c>
      <c r="O503" s="59">
        <f ca="1">IF(B503&gt;59.5,MAX(0,MIN((AA503+$Y503+$AJ503)*(IF(D503&lt;(MIN(E491:E502)+1),1,'Retirement Planning'!$J$44))-M503-$G503-$X503-(IF(D503&lt;(MIN(E491:E502)+1),D503,0)),N503)),0)</f>
        <v>0</v>
      </c>
      <c r="P503" s="57">
        <f t="shared" si="210"/>
        <v>0</v>
      </c>
      <c r="Q503" s="58">
        <f t="shared" si="211"/>
        <v>0</v>
      </c>
      <c r="R503" s="57">
        <f ca="1">(R502-S502-T502)*(1+'Retirement Planning'!$J$23/12)</f>
        <v>2972547.9516657838</v>
      </c>
      <c r="S503" s="58">
        <f t="shared" ca="1" si="212"/>
        <v>808.33333333333337</v>
      </c>
      <c r="T503" s="273">
        <f t="shared" ca="1" si="201"/>
        <v>-3.4106051316484809E-12</v>
      </c>
      <c r="U503" s="57">
        <f ca="1">(U502-V502)*(1+'Retirement Planning'!$J$23/12)</f>
        <v>1152118.4993799748</v>
      </c>
      <c r="V503" s="24">
        <f ca="1">IF(AND($B$10&lt;55,B503&lt;59.5),MIN(U503,MAX(0,(Y503+AA503+AJ503-G503)*'Retirement Planning'!$J$45)),IF(B503&lt;59.5,(MIN(U503,MAX(0,((Y503+AA503+AJ503)-G503-M503)*'Retirement Planning'!$J$45))),MIN(U503,MAX(0,(Y503+AA503+AJ503-G503-M503-K503-X503)*'Retirement Planning'!$J$45))))</f>
        <v>9931.8383465358784</v>
      </c>
      <c r="W503" s="7">
        <f t="shared" ca="1" si="202"/>
        <v>5571883.5964920623</v>
      </c>
      <c r="X503" s="7">
        <f>(IF(B503&gt;'Retirement Planning'!$J$34,IF('Retirement Planning'!$J$34=70,'Retirement Planning'!$J$37/12,IF('Retirement Planning'!$J$34=67,'Retirement Planning'!$J$36/12,'Retirement Planning'!$J$35/12)),0))*'Retirement Planning'!$J$38</f>
        <v>1213.6000000000001</v>
      </c>
      <c r="Y503" s="7">
        <f ca="1">'Retirement Planning'!$F$35*((1+'Retirement Planning'!$J$24)^(YEAR('Projected Retirement Drawdown'!C503)-YEAR(TODAY())))</f>
        <v>21274.019860898399</v>
      </c>
      <c r="Z503" s="7">
        <f ca="1">G503+M503+O503+0.85*X503+V503*'Retirement Planning'!$J$46+T503</f>
        <v>6494.0710905947299</v>
      </c>
      <c r="AA503" s="7">
        <f ca="1">IF(MONTH(C503)=1,(((MIN(MAX(0,((SUM(Z491:Z502)-'Retirement Planning'!$I$53-'Retirement Planning'!$I$54)-'Retirement Planning'!$J$51)*'Retirement Planning'!$I$52))))+(MIN(MAX(0,((SUM(Z491:Z502)-'Retirement Planning'!$I$53-'Retirement Planning'!$I$54)-'Retirement Planning'!$J$50)*'Retirement Planning'!$I$51),('Retirement Planning'!$J$51-'Retirement Planning'!$J$50)*'Retirement Planning'!$I$51))+(MIN(MAX(0,((SUM(Z491:Z502)-'Retirement Planning'!$I$53-'Retirement Planning'!$I$54)-'Retirement Planning'!$J$49)*'Retirement Planning'!$I$50),('Retirement Planning'!$J$50-'Retirement Planning'!$J$49)*'Retirement Planning'!$I$50)+MIN(MAX(0,((SUM(Z491:Z502)-'Retirement Planning'!$I$53-'Retirement Planning'!$I$54)-'Retirement Planning'!$J$48)*'Retirement Planning'!$I$49),('Retirement Planning'!$J$49-'Retirement Planning'!$J$48)*'Retirement Planning'!$I$49)+MIN(((SUM(Z491:Z502)-'Retirement Planning'!$I$53-'Retirement Planning'!$I$54))*'Retirement Planning'!$I$48,('Retirement Planning'!$J$48)*'Retirement Planning'!$I$48))+(IF((SUM(Z491:Z502)-'Retirement Planning'!$I$54-'Retirement Planning'!$I$61)&gt;'Retirement Planning'!$J$59,(SUM(Z491:Z502)-'Retirement Planning'!$I$54-'Retirement Planning'!$I$61-'Retirement Planning'!$J$59)*'Retirement Planning'!$I$60+'Retirement Planning'!$K$59,IF((SUM(Z491:Z502)-'Retirement Planning'!$I$54-'Retirement Planning'!$I$61)&gt;'Retirement Planning'!$J$58,(SUM(Z491:Z502)-'Retirement Planning'!$I$54-'Retirement Planning'!$I$61-'Retirement Planning'!$J$58)*'Retirement Planning'!$I$59+'Retirement Planning'!$K$58,IF((SUM(Z491:Z502)-'Retirement Planning'!$I$54-'Retirement Planning'!$I$61)&gt;'Retirement Planning'!$J$57,(SUM(Z491:Z502)-'Retirement Planning'!$I$54-'Retirement Planning'!$I$61-'Retirement Planning'!$J$57)*'Retirement Planning'!$I$58+'Retirement Planning'!$K$57,IF((SUM(Z491:Z502)-'Retirement Planning'!$I$54-'Retirement Planning'!$I$61)&gt;'Retirement Planning'!$J$56,(SUM(Z491:Z502)-'Retirement Planning'!$I$54-'Retirement Planning'!$I$61-'Retirement Planning'!$J$56)*'Retirement Planning'!$I$57+'Retirement Planning'!$K$56,(SUM(Z491:Z502)-'Retirement Planning'!$I$54-'Retirement Planning'!$I$61)*'Retirement Planning'!$I$56))))))/12,AA502)</f>
        <v>1213.8663996868379</v>
      </c>
      <c r="AB503" s="104">
        <f t="shared" ca="1" si="224"/>
        <v>0.18943464384343131</v>
      </c>
      <c r="AC503" s="7">
        <f>IF(B503&lt;65,'Retirement Planning'!$J$28,0)</f>
        <v>0</v>
      </c>
      <c r="AD503" s="7">
        <f>IF(B503&lt;65,'Retirement Planning'!$J$29/12,0)</f>
        <v>0</v>
      </c>
      <c r="AE503" s="22">
        <f>'Retirement Planning'!$J$31/12</f>
        <v>58.333333333333336</v>
      </c>
      <c r="AF503" s="22">
        <f>'Retirement Planning'!$J$32/12</f>
        <v>66.666666666666671</v>
      </c>
      <c r="AG503" s="7">
        <f>IF($B503&gt;64.9,'Retirement Planning'!$J$39/12,0)</f>
        <v>183.33333333333334</v>
      </c>
      <c r="AH503" s="7">
        <f>IF($B503&gt;64.9,'Retirement Planning'!$J$40/12,0)</f>
        <v>258.33333333333331</v>
      </c>
      <c r="AI503" s="7">
        <f>IF($B503&gt;64.9,'Retirement Planning'!$J$41/12,0)</f>
        <v>558.33333333333337</v>
      </c>
      <c r="AJ503" s="7">
        <f t="shared" ca="1" si="203"/>
        <v>316.66666666666663</v>
      </c>
      <c r="AK503" s="3" t="str">
        <f t="shared" ca="1" si="219"/>
        <v>N/A</v>
      </c>
      <c r="AL503" s="6" t="str">
        <f t="shared" ca="1" si="220"/>
        <v>N/A</v>
      </c>
      <c r="AM503" s="7">
        <f t="shared" ca="1" si="204"/>
        <v>-2.2737367544323206E-13</v>
      </c>
      <c r="AN503" s="7">
        <f t="shared" ca="1" si="205"/>
        <v>23612.886260585237</v>
      </c>
      <c r="AO503" s="7">
        <f t="shared" si="206"/>
        <v>1125</v>
      </c>
    </row>
    <row r="504" spans="1:41" x14ac:dyDescent="0.2">
      <c r="A504">
        <f t="shared" si="207"/>
        <v>50</v>
      </c>
      <c r="B504" s="5">
        <f t="shared" si="221"/>
        <v>97.5</v>
      </c>
      <c r="C504" s="56">
        <f t="shared" si="222"/>
        <v>61454</v>
      </c>
      <c r="D504" s="57">
        <f ca="1">IF(AND(B503&lt;59.5,OR(B504&gt;59.5,B504=59.5)),(D503-E503+J503-K503)*(1+'Retirement Planning'!$J$23/12),(D503-E503)*(1+'Retirement Planning'!$J$23/12))</f>
        <v>1445726.5669175521</v>
      </c>
      <c r="E504" s="58">
        <f t="shared" ca="1" si="198"/>
        <v>11659.114580716028</v>
      </c>
      <c r="F504" s="57">
        <f ca="1">IF(AND(OR(B504&gt;59.5,B504=59.5),B503&lt;59.5),(F503-G503+L503-M503+N503-O503)*(1+'Retirement Planning'!$J$23/12),(F503-G503)*(1+'Retirement Planning'!$J$23/12))</f>
        <v>0</v>
      </c>
      <c r="G504" s="58">
        <f ca="1">IF(AND($B$10&lt;55,B504&lt;59.5),'Retirement Planning'!$J$25,IF(OR(B504&gt;59.5,B504=59.5),MAX(0,MIN(F504,IF(D504&lt;2500,((Y504+AJ504+AA504))-X504,((Y504+AJ504+AA504)*'Retirement Planning'!$J$44)-X504))),0))</f>
        <v>0</v>
      </c>
      <c r="H504" s="255">
        <f ca="1">IF(MONTH(C504)=1,IF(B504&gt;69.5,F504/(INDEX('Retirement Planning'!D$1:D$264,(160+INT(B504))))/12,0),IF(F504=0,0,H503))</f>
        <v>0</v>
      </c>
      <c r="I504" s="262">
        <f t="shared" ca="1" si="199"/>
        <v>0</v>
      </c>
      <c r="J504" s="254">
        <f ca="1">IF(AND(B503&lt;59.5,OR(B504=59.5,B504&gt;59.5)),0,(J503-K503)*(1+'Retirement Planning'!$J$23/12))</f>
        <v>0</v>
      </c>
      <c r="K504" s="58">
        <f t="shared" ca="1" si="200"/>
        <v>0</v>
      </c>
      <c r="L504" s="57">
        <f>IF(AND(OR(B504&gt;59.5,B504=59.5),B503&lt;59.5),0,(L503-M503)*(1+'Retirement Planning'!$J$23/12))</f>
        <v>0</v>
      </c>
      <c r="M504" s="59">
        <f>IF(AND($B$10&lt;55,B504&lt;59.5),0,IF(B504&lt;59.5,MAX(0,MIN((($Y504+$AJ504+AA504)*'Retirement Planning'!$J$44)-$G504-$X504,L504)),0))</f>
        <v>0</v>
      </c>
      <c r="N504" s="57">
        <f ca="1">(N503-O503)*(1+'Retirement Planning'!$J$23/12)</f>
        <v>0</v>
      </c>
      <c r="O504" s="59">
        <f ca="1">IF(B504&gt;59.5,MAX(0,MIN((AA504+$Y504+$AJ504)*(IF(D504&lt;(MIN(E492:E503)+1),1,'Retirement Planning'!$J$44))-M504-$G504-$X504-(IF(D504&lt;(MIN(E492:E503)+1),D504,0)),N504)),0)</f>
        <v>0</v>
      </c>
      <c r="P504" s="57">
        <f t="shared" si="210"/>
        <v>0</v>
      </c>
      <c r="Q504" s="58">
        <f t="shared" si="211"/>
        <v>0</v>
      </c>
      <c r="R504" s="57">
        <f ca="1">(R503-S503-T503)*(1+'Retirement Planning'!$J$23/12)</f>
        <v>2992789.4406289719</v>
      </c>
      <c r="S504" s="58">
        <f t="shared" ca="1" si="212"/>
        <v>808.33333333333337</v>
      </c>
      <c r="T504" s="273">
        <f t="shared" ca="1" si="201"/>
        <v>-3.4106051316484809E-12</v>
      </c>
      <c r="U504" s="57">
        <f ca="1">(U503-V503)*(1+'Retirement Planning'!$J$23/12)</f>
        <v>1150277.1498824258</v>
      </c>
      <c r="V504" s="24">
        <f ca="1">IF(AND($B$10&lt;55,B504&lt;59.5),MIN(U504,MAX(0,(Y504+AA504+AJ504-G504)*'Retirement Planning'!$J$45)),IF(B504&lt;59.5,(MIN(U504,MAX(0,((Y504+AA504+AJ504)-G504-M504)*'Retirement Planning'!$J$45))),MIN(U504,MAX(0,(Y504+AA504+AJ504-G504-M504-K504-X504)*'Retirement Planning'!$J$45))))</f>
        <v>9931.8383465358784</v>
      </c>
      <c r="W504" s="7">
        <f t="shared" ca="1" si="202"/>
        <v>5588793.1574289491</v>
      </c>
      <c r="X504" s="7">
        <f>(IF(B504&gt;'Retirement Planning'!$J$34,IF('Retirement Planning'!$J$34=70,'Retirement Planning'!$J$37/12,IF('Retirement Planning'!$J$34=67,'Retirement Planning'!$J$36/12,'Retirement Planning'!$J$35/12)),0))*'Retirement Planning'!$J$38</f>
        <v>1213.6000000000001</v>
      </c>
      <c r="Y504" s="7">
        <f ca="1">'Retirement Planning'!$F$35*((1+'Retirement Planning'!$J$24)^(YEAR('Projected Retirement Drawdown'!C504)-YEAR(TODAY())))</f>
        <v>21274.019860898399</v>
      </c>
      <c r="Z504" s="7">
        <f ca="1">G504+M504+O504+0.85*X504+V504*'Retirement Planning'!$J$46+T504</f>
        <v>6494.0710905947299</v>
      </c>
      <c r="AA504" s="7">
        <f ca="1">IF(MONTH(C504)=1,(((MIN(MAX(0,((SUM(Z492:Z503)-'Retirement Planning'!$I$53-'Retirement Planning'!$I$54)-'Retirement Planning'!$J$51)*'Retirement Planning'!$I$52))))+(MIN(MAX(0,((SUM(Z492:Z503)-'Retirement Planning'!$I$53-'Retirement Planning'!$I$54)-'Retirement Planning'!$J$50)*'Retirement Planning'!$I$51),('Retirement Planning'!$J$51-'Retirement Planning'!$J$50)*'Retirement Planning'!$I$51))+(MIN(MAX(0,((SUM(Z492:Z503)-'Retirement Planning'!$I$53-'Retirement Planning'!$I$54)-'Retirement Planning'!$J$49)*'Retirement Planning'!$I$50),('Retirement Planning'!$J$50-'Retirement Planning'!$J$49)*'Retirement Planning'!$I$50)+MIN(MAX(0,((SUM(Z492:Z503)-'Retirement Planning'!$I$53-'Retirement Planning'!$I$54)-'Retirement Planning'!$J$48)*'Retirement Planning'!$I$49),('Retirement Planning'!$J$49-'Retirement Planning'!$J$48)*'Retirement Planning'!$I$49)+MIN(((SUM(Z492:Z503)-'Retirement Planning'!$I$53-'Retirement Planning'!$I$54))*'Retirement Planning'!$I$48,('Retirement Planning'!$J$48)*'Retirement Planning'!$I$48))+(IF((SUM(Z492:Z503)-'Retirement Planning'!$I$54-'Retirement Planning'!$I$61)&gt;'Retirement Planning'!$J$59,(SUM(Z492:Z503)-'Retirement Planning'!$I$54-'Retirement Planning'!$I$61-'Retirement Planning'!$J$59)*'Retirement Planning'!$I$60+'Retirement Planning'!$K$59,IF((SUM(Z492:Z503)-'Retirement Planning'!$I$54-'Retirement Planning'!$I$61)&gt;'Retirement Planning'!$J$58,(SUM(Z492:Z503)-'Retirement Planning'!$I$54-'Retirement Planning'!$I$61-'Retirement Planning'!$J$58)*'Retirement Planning'!$I$59+'Retirement Planning'!$K$58,IF((SUM(Z492:Z503)-'Retirement Planning'!$I$54-'Retirement Planning'!$I$61)&gt;'Retirement Planning'!$J$57,(SUM(Z492:Z503)-'Retirement Planning'!$I$54-'Retirement Planning'!$I$61-'Retirement Planning'!$J$57)*'Retirement Planning'!$I$58+'Retirement Planning'!$K$57,IF((SUM(Z492:Z503)-'Retirement Planning'!$I$54-'Retirement Planning'!$I$61)&gt;'Retirement Planning'!$J$56,(SUM(Z492:Z503)-'Retirement Planning'!$I$54-'Retirement Planning'!$I$61-'Retirement Planning'!$J$56)*'Retirement Planning'!$I$57+'Retirement Planning'!$K$56,(SUM(Z492:Z503)-'Retirement Planning'!$I$54-'Retirement Planning'!$I$61)*'Retirement Planning'!$I$56))))))/12,AA503)</f>
        <v>1213.8663996868379</v>
      </c>
      <c r="AB504" s="104">
        <f t="shared" ca="1" si="224"/>
        <v>0.19042026184209215</v>
      </c>
      <c r="AC504" s="7">
        <f>IF(B504&lt;65,'Retirement Planning'!$J$28,0)</f>
        <v>0</v>
      </c>
      <c r="AD504" s="7">
        <f>IF(B504&lt;65,'Retirement Planning'!$J$29/12,0)</f>
        <v>0</v>
      </c>
      <c r="AE504" s="22">
        <f>'Retirement Planning'!$J$31/12</f>
        <v>58.333333333333336</v>
      </c>
      <c r="AF504" s="22">
        <f>'Retirement Planning'!$J$32/12</f>
        <v>66.666666666666671</v>
      </c>
      <c r="AG504" s="7">
        <f>IF($B504&gt;64.9,'Retirement Planning'!$J$39/12,0)</f>
        <v>183.33333333333334</v>
      </c>
      <c r="AH504" s="7">
        <f>IF($B504&gt;64.9,'Retirement Planning'!$J$40/12,0)</f>
        <v>258.33333333333331</v>
      </c>
      <c r="AI504" s="7">
        <f>IF($B504&gt;64.9,'Retirement Planning'!$J$41/12,0)</f>
        <v>558.33333333333337</v>
      </c>
      <c r="AJ504" s="7">
        <f t="shared" ca="1" si="203"/>
        <v>316.66666666666663</v>
      </c>
      <c r="AK504" s="3" t="str">
        <f t="shared" ca="1" si="219"/>
        <v>N/A</v>
      </c>
      <c r="AL504" s="6" t="str">
        <f t="shared" ca="1" si="220"/>
        <v>N/A</v>
      </c>
      <c r="AM504" s="7">
        <f t="shared" ca="1" si="204"/>
        <v>-2.2737367544323206E-13</v>
      </c>
      <c r="AN504" s="7">
        <f t="shared" ca="1" si="205"/>
        <v>23612.886260585237</v>
      </c>
      <c r="AO504" s="7">
        <f t="shared" si="206"/>
        <v>1125</v>
      </c>
    </row>
    <row r="505" spans="1:41" ht="13.5" thickBot="1" x14ac:dyDescent="0.25">
      <c r="A505">
        <f t="shared" si="207"/>
        <v>50</v>
      </c>
      <c r="B505" s="5">
        <f t="shared" si="221"/>
        <v>97.5</v>
      </c>
      <c r="C505" s="56">
        <f t="shared" si="222"/>
        <v>61484</v>
      </c>
      <c r="D505" s="57">
        <f ca="1">IF(AND(B504&lt;59.5,OR(B505&gt;59.5,B505=59.5)),(D504-E504+J504-K504)*(1+'Retirement Planning'!$J$23/12),(D504-E504)*(1+'Retirement Planning'!$J$23/12))</f>
        <v>1444225.4301242221</v>
      </c>
      <c r="E505" s="58">
        <f t="shared" ca="1" si="198"/>
        <v>11659.114580716028</v>
      </c>
      <c r="F505" s="57">
        <f ca="1">IF(AND(OR(B505&gt;59.5,B505=59.5),B504&lt;59.5),(F504-G504+L504-M504+N504-O504)*(1+'Retirement Planning'!$J$23/12),(F504-G504)*(1+'Retirement Planning'!$J$23/12))</f>
        <v>0</v>
      </c>
      <c r="G505" s="58">
        <f ca="1">IF(AND($B$10&lt;55,B505&lt;59.5),'Retirement Planning'!$J$25,IF(OR(B505&gt;59.5,B505=59.5),MAX(0,MIN(F505,IF(D505&lt;2500,((Y505+AJ505+AA505))-X505,((Y505+AJ505+AA505)*'Retirement Planning'!$J$44)-X505))),0))</f>
        <v>0</v>
      </c>
      <c r="H505" s="255">
        <f ca="1">IF(MONTH(C505)=1,IF(B505&gt;69.5,F505/(INDEX('Retirement Planning'!D$1:D$264,(160+INT(B505))))/12,0),IF(F505=0,0,H504))</f>
        <v>0</v>
      </c>
      <c r="I505" s="262">
        <f t="shared" ca="1" si="199"/>
        <v>0</v>
      </c>
      <c r="J505" s="254">
        <f ca="1">IF(AND(B504&lt;59.5,OR(B505=59.5,B505&gt;59.5)),0,(J504-K504)*(1+'Retirement Planning'!$J$23/12))</f>
        <v>0</v>
      </c>
      <c r="K505" s="58">
        <f t="shared" ca="1" si="200"/>
        <v>0</v>
      </c>
      <c r="L505" s="57">
        <f>IF(AND(OR(B505&gt;59.5,B505=59.5),B504&lt;59.5),0,(L504-M504)*(1+'Retirement Planning'!$J$23/12))</f>
        <v>0</v>
      </c>
      <c r="M505" s="59">
        <f>IF(AND($B$10&lt;55,B505&lt;59.5),0,IF(B505&lt;59.5,MAX(0,MIN((($Y505+$AJ505+AA505)*'Retirement Planning'!$J$44)-$G505-$X505,L505)),0))</f>
        <v>0</v>
      </c>
      <c r="N505" s="57">
        <f ca="1">(N504-O504)*(1+'Retirement Planning'!$J$23/12)</f>
        <v>0</v>
      </c>
      <c r="O505" s="59">
        <f ca="1">IF(B505&gt;59.5,MAX(0,MIN((AA505+$Y505+$AJ505)*(IF(D505&lt;(MIN(E493:E504)+1),1,'Retirement Planning'!$J$44))-M505-$G505-$X505-(IF(D505&lt;(MIN(E493:E504)+1),D505,0)),N505)),0)</f>
        <v>0</v>
      </c>
      <c r="P505" s="57">
        <f t="shared" si="210"/>
        <v>0</v>
      </c>
      <c r="Q505" s="58">
        <f t="shared" si="211"/>
        <v>0</v>
      </c>
      <c r="R505" s="57">
        <f ca="1">(R504-S504-T504)*(1+'Retirement Planning'!$J$23/12)</f>
        <v>3013174.3068056493</v>
      </c>
      <c r="S505" s="58">
        <f t="shared" ca="1" si="212"/>
        <v>808.33333333333337</v>
      </c>
      <c r="T505" s="273">
        <f t="shared" ca="1" si="201"/>
        <v>-3.4106051316484809E-12</v>
      </c>
      <c r="U505" s="67">
        <f ca="1">(U504-V504)*(1+'Retirement Planning'!$J$23/12)</f>
        <v>1148422.7574926026</v>
      </c>
      <c r="V505" s="24">
        <f ca="1">IF(AND($B$10&lt;55,B505&lt;59.5),MIN(U505,MAX(0,(Y505+AA505+AJ505-G505)*'Retirement Planning'!$J$45)),IF(B505&lt;59.5,(MIN(U505,MAX(0,((Y505+AA505+AJ505)-G505-M505)*'Retirement Planning'!$J$45))),MIN(U505,MAX(0,(Y505+AA505+AJ505-G505-M505-K505-X505)*'Retirement Planning'!$J$45))))</f>
        <v>9931.8383465358784</v>
      </c>
      <c r="W505" s="7">
        <f t="shared" ca="1" si="202"/>
        <v>5605822.4944224739</v>
      </c>
      <c r="X505" s="7">
        <f>(IF(B505&gt;'Retirement Planning'!$J$34,IF('Retirement Planning'!$J$34=70,'Retirement Planning'!$J$37/12,IF('Retirement Planning'!$J$34=67,'Retirement Planning'!$J$36/12,'Retirement Planning'!$J$35/12)),0))*'Retirement Planning'!$J$38</f>
        <v>1213.6000000000001</v>
      </c>
      <c r="Y505" s="7">
        <f ca="1">'Retirement Planning'!$F$35*((1+'Retirement Planning'!$J$24)^(YEAR('Projected Retirement Drawdown'!C505)-YEAR(TODAY())))</f>
        <v>21274.019860898399</v>
      </c>
      <c r="Z505" s="7">
        <f ca="1">G505+M505+O505+0.85*X505+V505*'Retirement Planning'!$J$46+T505</f>
        <v>6494.0710905947299</v>
      </c>
      <c r="AA505" s="7">
        <f ca="1">IF(MONTH(C505)=1,(((MIN(MAX(0,((SUM(Z493:Z504)-'Retirement Planning'!$I$53-'Retirement Planning'!$I$54)-'Retirement Planning'!$J$51)*'Retirement Planning'!$I$52))))+(MIN(MAX(0,((SUM(Z493:Z504)-'Retirement Planning'!$I$53-'Retirement Planning'!$I$54)-'Retirement Planning'!$J$50)*'Retirement Planning'!$I$51),('Retirement Planning'!$J$51-'Retirement Planning'!$J$50)*'Retirement Planning'!$I$51))+(MIN(MAX(0,((SUM(Z493:Z504)-'Retirement Planning'!$I$53-'Retirement Planning'!$I$54)-'Retirement Planning'!$J$49)*'Retirement Planning'!$I$50),('Retirement Planning'!$J$50-'Retirement Planning'!$J$49)*'Retirement Planning'!$I$50)+MIN(MAX(0,((SUM(Z493:Z504)-'Retirement Planning'!$I$53-'Retirement Planning'!$I$54)-'Retirement Planning'!$J$48)*'Retirement Planning'!$I$49),('Retirement Planning'!$J$49-'Retirement Planning'!$J$48)*'Retirement Planning'!$I$49)+MIN(((SUM(Z493:Z504)-'Retirement Planning'!$I$53-'Retirement Planning'!$I$54))*'Retirement Planning'!$I$48,('Retirement Planning'!$J$48)*'Retirement Planning'!$I$48))+(IF((SUM(Z493:Z504)-'Retirement Planning'!$I$54-'Retirement Planning'!$I$61)&gt;'Retirement Planning'!$J$59,(SUM(Z493:Z504)-'Retirement Planning'!$I$54-'Retirement Planning'!$I$61-'Retirement Planning'!$J$59)*'Retirement Planning'!$I$60+'Retirement Planning'!$K$59,IF((SUM(Z493:Z504)-'Retirement Planning'!$I$54-'Retirement Planning'!$I$61)&gt;'Retirement Planning'!$J$58,(SUM(Z493:Z504)-'Retirement Planning'!$I$54-'Retirement Planning'!$I$61-'Retirement Planning'!$J$58)*'Retirement Planning'!$I$59+'Retirement Planning'!$K$58,IF((SUM(Z493:Z504)-'Retirement Planning'!$I$54-'Retirement Planning'!$I$61)&gt;'Retirement Planning'!$J$57,(SUM(Z493:Z504)-'Retirement Planning'!$I$54-'Retirement Planning'!$I$61-'Retirement Planning'!$J$57)*'Retirement Planning'!$I$58+'Retirement Planning'!$K$57,IF((SUM(Z493:Z504)-'Retirement Planning'!$I$54-'Retirement Planning'!$I$61)&gt;'Retirement Planning'!$J$56,(SUM(Z493:Z504)-'Retirement Planning'!$I$54-'Retirement Planning'!$I$61-'Retirement Planning'!$J$56)*'Retirement Planning'!$I$57+'Retirement Planning'!$K$56,(SUM(Z493:Z504)-'Retirement Planning'!$I$54-'Retirement Planning'!$I$61)*'Retirement Planning'!$I$56))))))/12,AA504)</f>
        <v>1213.8663996868379</v>
      </c>
      <c r="AB505" s="104">
        <f ca="1">(AA505*12)/SUM(Z489:Z500)</f>
        <v>0.19141618971457619</v>
      </c>
      <c r="AC505" s="7">
        <f>IF(B505&lt;65,'Retirement Planning'!$J$28,0)</f>
        <v>0</v>
      </c>
      <c r="AD505" s="7">
        <f>IF(B505&lt;65,'Retirement Planning'!$J$29/12,0)</f>
        <v>0</v>
      </c>
      <c r="AE505" s="22">
        <f>'Retirement Planning'!$J$31/12</f>
        <v>58.333333333333336</v>
      </c>
      <c r="AF505" s="22">
        <f>'Retirement Planning'!$J$32/12</f>
        <v>66.666666666666671</v>
      </c>
      <c r="AG505" s="7">
        <f>IF($B505&gt;64.9,'Retirement Planning'!$J$39/12,0)</f>
        <v>183.33333333333334</v>
      </c>
      <c r="AH505" s="7">
        <f>IF($B505&gt;64.9,'Retirement Planning'!$J$40/12,0)</f>
        <v>258.33333333333331</v>
      </c>
      <c r="AI505" s="7">
        <f>IF($B505&gt;64.9,'Retirement Planning'!$J$41/12,0)</f>
        <v>558.33333333333337</v>
      </c>
      <c r="AJ505" s="7">
        <f t="shared" ca="1" si="203"/>
        <v>316.66666666666663</v>
      </c>
      <c r="AK505" s="3" t="str">
        <f t="shared" ca="1" si="219"/>
        <v>N/A</v>
      </c>
      <c r="AL505" s="6" t="str">
        <f t="shared" ca="1" si="220"/>
        <v>N/A</v>
      </c>
      <c r="AM505" s="7">
        <f t="shared" ca="1" si="204"/>
        <v>-2.2737367544323206E-13</v>
      </c>
      <c r="AN505" s="7">
        <f t="shared" ca="1" si="205"/>
        <v>23612.886260585237</v>
      </c>
      <c r="AO505" s="7">
        <f t="shared" si="206"/>
        <v>1125</v>
      </c>
    </row>
    <row r="506" spans="1:41" x14ac:dyDescent="0.2">
      <c r="I506" s="7">
        <f ca="1">SUM(I10:I505)</f>
        <v>0</v>
      </c>
      <c r="X506" s="7">
        <f>SUM(X10:X505)</f>
        <v>516993.59999999602</v>
      </c>
      <c r="AJ506" s="7">
        <f ca="1">SUM(AJ10:AJ505)</f>
        <v>147332.00000000029</v>
      </c>
      <c r="AO506" s="7">
        <f>SUM(AO10:AO505)</f>
        <v>544965.33333333349</v>
      </c>
    </row>
  </sheetData>
  <mergeCells count="9">
    <mergeCell ref="F8:G8"/>
    <mergeCell ref="U8:V8"/>
    <mergeCell ref="B3:N5"/>
    <mergeCell ref="D8:E8"/>
    <mergeCell ref="J8:K8"/>
    <mergeCell ref="L8:M8"/>
    <mergeCell ref="N8:O8"/>
    <mergeCell ref="P8:Q8"/>
    <mergeCell ref="R8:T8"/>
  </mergeCells>
  <conditionalFormatting sqref="E10:E505">
    <cfRule type="expression" dxfId="55" priority="2" stopIfTrue="1">
      <formula>"and(B20&lt;59.5,SUM($E$10:E20)&gt;95500"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Retirement Planning</vt:lpstr>
      <vt:lpstr>Projected Retirement Drawdown</vt:lpstr>
      <vt:lpstr>Chart1</vt:lpstr>
    </vt:vector>
  </TitlesOfParts>
  <Company>Intel 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Roberts</dc:creator>
  <cp:lastModifiedBy>Gene Roberts</cp:lastModifiedBy>
  <cp:lastPrinted>2014-06-24T06:44:09Z</cp:lastPrinted>
  <dcterms:created xsi:type="dcterms:W3CDTF">2006-07-17T14:34:48Z</dcterms:created>
  <dcterms:modified xsi:type="dcterms:W3CDTF">2015-03-12T23:25:15Z</dcterms:modified>
</cp:coreProperties>
</file>