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er\Documents\Millennial Moola\consulting\"/>
    </mc:Choice>
  </mc:AlternateContent>
  <bookViews>
    <workbookView xWindow="0" yWindow="0" windowWidth="19200" windowHeight="7310" tabRatio="500"/>
  </bookViews>
  <sheets>
    <sheet name="Student Loan Inputs" sheetId="4" r:id="rId1"/>
    <sheet name="Summary Statistics" sheetId="8" r:id="rId2"/>
    <sheet name="Simulation" sheetId="7"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7" i="8" l="1"/>
  <c r="H7" i="8"/>
  <c r="B7" i="8" s="1"/>
  <c r="AF12" i="4"/>
  <c r="E7" i="8" l="1"/>
  <c r="AD12" i="4" l="1"/>
  <c r="P2" i="7" l="1"/>
  <c r="AE12" i="4" l="1"/>
  <c r="O2" i="7" l="1"/>
  <c r="K2" i="7"/>
  <c r="M2" i="7"/>
  <c r="N2" i="7"/>
  <c r="AB12" i="4"/>
  <c r="G2" i="8" s="1"/>
  <c r="AC12" i="4"/>
  <c r="B2" i="7" l="1"/>
  <c r="G3" i="8"/>
  <c r="G4" i="8" s="1"/>
  <c r="I2" i="7" l="1"/>
  <c r="B31" i="7"/>
  <c r="B21" i="7"/>
  <c r="B24" i="7"/>
  <c r="B9" i="7"/>
  <c r="B20" i="7"/>
  <c r="B15" i="7"/>
  <c r="B10" i="7"/>
  <c r="J2" i="7"/>
  <c r="B5" i="7"/>
  <c r="B26" i="7"/>
  <c r="B19" i="7"/>
  <c r="B14" i="7"/>
  <c r="B8" i="7"/>
  <c r="B30" i="7"/>
  <c r="B25" i="7"/>
  <c r="G2" i="7"/>
  <c r="E2" i="7" s="1"/>
  <c r="B32" i="7"/>
  <c r="B16" i="7"/>
  <c r="B27" i="7"/>
  <c r="B11" i="7"/>
  <c r="B22" i="7"/>
  <c r="B6" i="7"/>
  <c r="B17" i="7"/>
  <c r="C2" i="7"/>
  <c r="B3" i="7"/>
  <c r="B28" i="7"/>
  <c r="B12" i="7"/>
  <c r="B23" i="7"/>
  <c r="B7" i="7"/>
  <c r="B18" i="7"/>
  <c r="B29" i="7"/>
  <c r="B13" i="7"/>
  <c r="B4" i="7"/>
  <c r="H40" i="4"/>
  <c r="F26" i="7" l="1"/>
  <c r="F27" i="7"/>
  <c r="F25" i="7"/>
  <c r="F24" i="7"/>
  <c r="F23" i="7"/>
  <c r="N28" i="7"/>
  <c r="F28" i="7"/>
  <c r="N30" i="7"/>
  <c r="F30" i="7"/>
  <c r="N32" i="7"/>
  <c r="F32" i="7"/>
  <c r="N31" i="7"/>
  <c r="F31" i="7"/>
  <c r="N29" i="7"/>
  <c r="F29" i="7"/>
  <c r="F2" i="7"/>
  <c r="S2" i="7" s="1"/>
  <c r="H3" i="8"/>
  <c r="H5" i="8"/>
  <c r="C17" i="7"/>
  <c r="AB17" i="7"/>
  <c r="O25" i="7"/>
  <c r="AB25" i="7"/>
  <c r="C19" i="7"/>
  <c r="AB19" i="7"/>
  <c r="AB24" i="7"/>
  <c r="C18" i="7"/>
  <c r="AB18" i="7"/>
  <c r="C16" i="7"/>
  <c r="AB16" i="7"/>
  <c r="J26" i="7"/>
  <c r="AB26" i="7"/>
  <c r="C15" i="7"/>
  <c r="AB15" i="7"/>
  <c r="C21" i="7"/>
  <c r="AB21" i="7"/>
  <c r="S27" i="7"/>
  <c r="AB27" i="7"/>
  <c r="C20" i="7"/>
  <c r="AB20" i="7"/>
  <c r="C22" i="7"/>
  <c r="AB22" i="7"/>
  <c r="O23" i="7"/>
  <c r="AB23" i="7"/>
  <c r="C6" i="7"/>
  <c r="C4" i="7"/>
  <c r="C3" i="7"/>
  <c r="C8" i="7"/>
  <c r="C5" i="7"/>
  <c r="C12" i="7"/>
  <c r="AB12" i="7"/>
  <c r="C10" i="7"/>
  <c r="C13" i="7"/>
  <c r="AB13" i="7"/>
  <c r="C11" i="7"/>
  <c r="C14" i="7"/>
  <c r="AB14" i="7"/>
  <c r="L2" i="7"/>
  <c r="H2" i="7" s="1"/>
  <c r="D2" i="7" s="1"/>
  <c r="C7" i="7"/>
  <c r="T32" i="7"/>
  <c r="K3" i="7"/>
  <c r="J3" i="7" s="1"/>
  <c r="T30" i="7"/>
  <c r="R30" i="7"/>
  <c r="D31" i="7"/>
  <c r="Q31" i="7"/>
  <c r="G31" i="7"/>
  <c r="S31" i="7"/>
  <c r="M32" i="7"/>
  <c r="P31" i="7"/>
  <c r="R32" i="7"/>
  <c r="C31" i="7"/>
  <c r="H32" i="7"/>
  <c r="J32" i="7"/>
  <c r="L31" i="7"/>
  <c r="M31" i="7"/>
  <c r="T31" i="7"/>
  <c r="H31" i="7"/>
  <c r="K31" i="7"/>
  <c r="I31" i="7"/>
  <c r="J31" i="7"/>
  <c r="D32" i="7"/>
  <c r="U32" i="7" s="1"/>
  <c r="O31" i="7"/>
  <c r="R31" i="7"/>
  <c r="G30" i="7"/>
  <c r="D30" i="7"/>
  <c r="C32" i="7"/>
  <c r="Q32" i="7"/>
  <c r="R28" i="7"/>
  <c r="H30" i="7"/>
  <c r="O30" i="7"/>
  <c r="G32" i="7"/>
  <c r="K32" i="7"/>
  <c r="S32" i="7"/>
  <c r="O32" i="7"/>
  <c r="P32" i="7"/>
  <c r="I32" i="7"/>
  <c r="L32" i="7"/>
  <c r="C26" i="7"/>
  <c r="C30" i="7"/>
  <c r="S26" i="7"/>
  <c r="L28" i="7"/>
  <c r="K28" i="7"/>
  <c r="L30" i="7"/>
  <c r="S24" i="7"/>
  <c r="C28" i="7"/>
  <c r="G28" i="7"/>
  <c r="S28" i="7"/>
  <c r="O26" i="7"/>
  <c r="C24" i="7"/>
  <c r="J24" i="7"/>
  <c r="O24" i="7"/>
  <c r="P28" i="7"/>
  <c r="I30" i="7"/>
  <c r="J28" i="7"/>
  <c r="S30" i="7"/>
  <c r="S29" i="7"/>
  <c r="M30" i="7"/>
  <c r="O27" i="7"/>
  <c r="Q30" i="7"/>
  <c r="Q28" i="7"/>
  <c r="C25" i="7"/>
  <c r="H29" i="7"/>
  <c r="J25" i="7"/>
  <c r="H28" i="7"/>
  <c r="I28" i="7"/>
  <c r="K30" i="7"/>
  <c r="J30" i="7"/>
  <c r="S25" i="7"/>
  <c r="D28" i="7"/>
  <c r="M28" i="7"/>
  <c r="O28" i="7"/>
  <c r="P29" i="7"/>
  <c r="P30" i="7"/>
  <c r="C23" i="7"/>
  <c r="T28" i="7"/>
  <c r="C9" i="7"/>
  <c r="J23" i="7"/>
  <c r="T2" i="7"/>
  <c r="S23" i="7"/>
  <c r="P3" i="7"/>
  <c r="X2" i="7" s="1"/>
  <c r="C27" i="7"/>
  <c r="G29" i="7"/>
  <c r="K29" i="7"/>
  <c r="O29" i="7"/>
  <c r="C29" i="7"/>
  <c r="D29" i="7"/>
  <c r="T29" i="7"/>
  <c r="I29" i="7"/>
  <c r="J27" i="7"/>
  <c r="J29" i="7"/>
  <c r="L29" i="7"/>
  <c r="M29" i="7"/>
  <c r="Q29" i="7"/>
  <c r="R29" i="7"/>
  <c r="K4" i="7"/>
  <c r="O3" i="7" l="1"/>
  <c r="W2" i="7" s="1"/>
  <c r="AE2" i="7" s="1"/>
  <c r="H4" i="8"/>
  <c r="AB2" i="7"/>
  <c r="R2" i="7"/>
  <c r="N3" i="7"/>
  <c r="V2" i="7" s="1"/>
  <c r="Z2" i="7" s="1"/>
  <c r="Q2" i="7"/>
  <c r="M3" i="7" s="1"/>
  <c r="U2" i="7" s="1"/>
  <c r="Y2" i="7" s="1"/>
  <c r="H2" i="8"/>
  <c r="H6" i="8" s="1"/>
  <c r="AF2" i="7"/>
  <c r="W24" i="7"/>
  <c r="AE24" i="7" s="1"/>
  <c r="L4" i="7"/>
  <c r="H4" i="7" s="1"/>
  <c r="I3" i="7"/>
  <c r="L3" i="7"/>
  <c r="H3" i="7" s="1"/>
  <c r="U31" i="7"/>
  <c r="E30" i="7"/>
  <c r="V30" i="7" s="1"/>
  <c r="X30" i="7"/>
  <c r="U30" i="7"/>
  <c r="E31" i="7"/>
  <c r="V31" i="7" s="1"/>
  <c r="U29" i="7"/>
  <c r="X31" i="7"/>
  <c r="E28" i="7"/>
  <c r="V28" i="7" s="1"/>
  <c r="W30" i="7"/>
  <c r="X32" i="7"/>
  <c r="E32" i="7"/>
  <c r="V32" i="7" s="1"/>
  <c r="W32" i="7"/>
  <c r="W31" i="7"/>
  <c r="W26" i="7"/>
  <c r="AE26" i="7" s="1"/>
  <c r="W25" i="7"/>
  <c r="AE25" i="7" s="1"/>
  <c r="W23" i="7"/>
  <c r="AE23" i="7" s="1"/>
  <c r="X28" i="7"/>
  <c r="U28" i="7"/>
  <c r="G3" i="7"/>
  <c r="W28" i="7"/>
  <c r="E29" i="7"/>
  <c r="V29" i="7" s="1"/>
  <c r="W27" i="7"/>
  <c r="AE27" i="7" s="1"/>
  <c r="X29" i="7"/>
  <c r="W29" i="7"/>
  <c r="J4" i="7"/>
  <c r="I4" i="7"/>
  <c r="K5" i="7"/>
  <c r="AA2" i="7" l="1"/>
  <c r="F3" i="7"/>
  <c r="O4" i="7" s="1"/>
  <c r="W3" i="7" s="1"/>
  <c r="AE3" i="7" s="1"/>
  <c r="E3" i="7"/>
  <c r="R3" i="7" s="1"/>
  <c r="AD2" i="7"/>
  <c r="D3" i="7"/>
  <c r="Q3" i="7" s="1"/>
  <c r="M4" i="7" s="1"/>
  <c r="AC2" i="7"/>
  <c r="T3" i="7"/>
  <c r="P4" i="7"/>
  <c r="X3" i="7" s="1"/>
  <c r="AA3" i="7" s="1"/>
  <c r="S3" i="7"/>
  <c r="I5" i="7"/>
  <c r="K6" i="7"/>
  <c r="J5" i="7"/>
  <c r="L5" i="7"/>
  <c r="H5" i="7" s="1"/>
  <c r="N4" i="7" l="1"/>
  <c r="V3" i="7" s="1"/>
  <c r="Z3" i="7" s="1"/>
  <c r="AB3" i="7"/>
  <c r="AF3" i="7"/>
  <c r="G4" i="7"/>
  <c r="F4" i="7" s="1"/>
  <c r="U3" i="7"/>
  <c r="Y3" i="7" s="1"/>
  <c r="I6" i="7"/>
  <c r="K7" i="7"/>
  <c r="L7" i="7" s="1"/>
  <c r="L6" i="7"/>
  <c r="H6" i="7" s="1"/>
  <c r="J6" i="7"/>
  <c r="E4" i="7" l="1"/>
  <c r="N5" i="7" s="1"/>
  <c r="V4" i="7" s="1"/>
  <c r="AD3" i="7"/>
  <c r="AC3" i="7"/>
  <c r="P5" i="7"/>
  <c r="X4" i="7" s="1"/>
  <c r="T4" i="7"/>
  <c r="K8" i="7"/>
  <c r="K9" i="7" s="1"/>
  <c r="H7" i="7"/>
  <c r="I7" i="7"/>
  <c r="J7" i="7"/>
  <c r="Z4" i="7" l="1"/>
  <c r="R4" i="7"/>
  <c r="O5" i="7"/>
  <c r="S4" i="7"/>
  <c r="AB4" i="7"/>
  <c r="AF4" i="7"/>
  <c r="AD4" i="7"/>
  <c r="G5" i="7"/>
  <c r="J8" i="7"/>
  <c r="L8" i="7"/>
  <c r="H8" i="7" s="1"/>
  <c r="I8" i="7"/>
  <c r="F5" i="7" l="1"/>
  <c r="S5" i="7" s="1"/>
  <c r="E5" i="7"/>
  <c r="N6" i="7" s="1"/>
  <c r="W4" i="7"/>
  <c r="AA4" i="7" s="1"/>
  <c r="O6" i="7"/>
  <c r="T5" i="7"/>
  <c r="P6" i="7"/>
  <c r="G6" i="7" s="1"/>
  <c r="K10" i="7"/>
  <c r="J9" i="7"/>
  <c r="L9" i="7"/>
  <c r="H9" i="7" s="1"/>
  <c r="I9" i="7"/>
  <c r="R5" i="7" l="1"/>
  <c r="F6" i="7"/>
  <c r="S6" i="7" s="1"/>
  <c r="T6" i="7"/>
  <c r="W5" i="7"/>
  <c r="AE5" i="7" s="1"/>
  <c r="AE4" i="7"/>
  <c r="E6" i="7"/>
  <c r="R6" i="7" s="1"/>
  <c r="P7" i="7"/>
  <c r="X6" i="7" s="1"/>
  <c r="X5" i="7"/>
  <c r="V5" i="7"/>
  <c r="J10" i="7"/>
  <c r="K11" i="7"/>
  <c r="L10" i="7"/>
  <c r="H10" i="7" s="1"/>
  <c r="I10" i="7"/>
  <c r="AA5" i="7" l="1"/>
  <c r="O7" i="7"/>
  <c r="W6" i="7" s="1"/>
  <c r="Z5" i="7"/>
  <c r="AD5" i="7"/>
  <c r="AB5" i="7"/>
  <c r="AF5" i="7"/>
  <c r="AB6" i="7"/>
  <c r="AF6" i="7"/>
  <c r="N7" i="7"/>
  <c r="V6" i="7" s="1"/>
  <c r="Z6" i="7" s="1"/>
  <c r="G7" i="7"/>
  <c r="K12" i="7"/>
  <c r="L11" i="7"/>
  <c r="H11" i="7" s="1"/>
  <c r="J11" i="7"/>
  <c r="I11" i="7"/>
  <c r="AE6" i="7" l="1"/>
  <c r="AA6" i="7"/>
  <c r="F7" i="7"/>
  <c r="O8" i="7" s="1"/>
  <c r="W7" i="7" s="1"/>
  <c r="AE7" i="7" s="1"/>
  <c r="AD6" i="7"/>
  <c r="E7" i="7"/>
  <c r="N8" i="7" s="1"/>
  <c r="V7" i="7" s="1"/>
  <c r="P8" i="7"/>
  <c r="X7" i="7" s="1"/>
  <c r="T7" i="7"/>
  <c r="L12" i="7"/>
  <c r="H12" i="7" s="1"/>
  <c r="K13" i="7"/>
  <c r="J12" i="7"/>
  <c r="I12" i="7"/>
  <c r="AA7" i="7" l="1"/>
  <c r="Z7" i="7"/>
  <c r="S7" i="7"/>
  <c r="AB7" i="7"/>
  <c r="AF7" i="7"/>
  <c r="AD7" i="7"/>
  <c r="R7" i="7"/>
  <c r="G8" i="7"/>
  <c r="F8" i="7" s="1"/>
  <c r="L13" i="7"/>
  <c r="H13" i="7" s="1"/>
  <c r="K14" i="7"/>
  <c r="J13" i="7"/>
  <c r="I13" i="7"/>
  <c r="E8" i="7" l="1"/>
  <c r="N9" i="7" s="1"/>
  <c r="V8" i="7" s="1"/>
  <c r="P9" i="7"/>
  <c r="G9" i="7" s="1"/>
  <c r="T8" i="7"/>
  <c r="L14" i="7"/>
  <c r="H14" i="7" s="1"/>
  <c r="J14" i="7"/>
  <c r="K15" i="7"/>
  <c r="I14" i="7"/>
  <c r="R8" i="7" l="1"/>
  <c r="O9" i="7"/>
  <c r="F9" i="7" s="1"/>
  <c r="S8" i="7"/>
  <c r="AD8" i="7"/>
  <c r="P10" i="7"/>
  <c r="X9" i="7" s="1"/>
  <c r="X8" i="7"/>
  <c r="T9" i="7"/>
  <c r="E9" i="7"/>
  <c r="R9" i="7" s="1"/>
  <c r="L15" i="7"/>
  <c r="H15" i="7" s="1"/>
  <c r="J15" i="7"/>
  <c r="K16" i="7"/>
  <c r="I15" i="7"/>
  <c r="Z8" i="7" l="1"/>
  <c r="W8" i="7"/>
  <c r="AE8" i="7" s="1"/>
  <c r="O10" i="7"/>
  <c r="W9" i="7" s="1"/>
  <c r="AA9" i="7" s="1"/>
  <c r="G10" i="7"/>
  <c r="AB8" i="7"/>
  <c r="AF8" i="7"/>
  <c r="AB9" i="7"/>
  <c r="AF9" i="7"/>
  <c r="N10" i="7"/>
  <c r="V9" i="7" s="1"/>
  <c r="Z9" i="7" s="1"/>
  <c r="L16" i="7"/>
  <c r="H16" i="7" s="1"/>
  <c r="K17" i="7"/>
  <c r="J16" i="7"/>
  <c r="I16" i="7"/>
  <c r="AA8" i="7" l="1"/>
  <c r="F10" i="7"/>
  <c r="O11" i="7" s="1"/>
  <c r="S9" i="7"/>
  <c r="T10" i="7"/>
  <c r="E10" i="7"/>
  <c r="R10" i="7" s="1"/>
  <c r="P11" i="7"/>
  <c r="X10" i="7" s="1"/>
  <c r="AD9" i="7"/>
  <c r="L17" i="7"/>
  <c r="H17" i="7" s="1"/>
  <c r="J17" i="7"/>
  <c r="K18" i="7"/>
  <c r="I17" i="7"/>
  <c r="W10" i="7" l="1"/>
  <c r="AE10" i="7" s="1"/>
  <c r="S10" i="7"/>
  <c r="AE9" i="7"/>
  <c r="AB10" i="7"/>
  <c r="AF10" i="7"/>
  <c r="G11" i="7"/>
  <c r="F11" i="7" s="1"/>
  <c r="N11" i="7"/>
  <c r="V10" i="7" s="1"/>
  <c r="Z10" i="7" s="1"/>
  <c r="L18" i="7"/>
  <c r="H18" i="7" s="1"/>
  <c r="J18" i="7"/>
  <c r="K19" i="7"/>
  <c r="J19" i="7" s="1"/>
  <c r="I18" i="7"/>
  <c r="AA10" i="7" l="1"/>
  <c r="P12" i="7"/>
  <c r="X11" i="7" s="1"/>
  <c r="O12" i="7"/>
  <c r="W11" i="7" s="1"/>
  <c r="AE11" i="7" s="1"/>
  <c r="T11" i="7"/>
  <c r="AD10" i="7"/>
  <c r="E11" i="7"/>
  <c r="R11" i="7" s="1"/>
  <c r="L19" i="7"/>
  <c r="H19" i="7" s="1"/>
  <c r="K20" i="7"/>
  <c r="J20" i="7" s="1"/>
  <c r="I19" i="7"/>
  <c r="AA11" i="7" l="1"/>
  <c r="AB11" i="7"/>
  <c r="AB34" i="7" s="1"/>
  <c r="G12" i="7"/>
  <c r="F12" i="7" s="1"/>
  <c r="O13" i="7" s="1"/>
  <c r="W12" i="7" s="1"/>
  <c r="AE12" i="7" s="1"/>
  <c r="AF11" i="7"/>
  <c r="S11" i="7"/>
  <c r="P13" i="7"/>
  <c r="X12" i="7" s="1"/>
  <c r="N12" i="7"/>
  <c r="V11" i="7" s="1"/>
  <c r="Z11" i="7" s="1"/>
  <c r="L20" i="7"/>
  <c r="H20" i="7" s="1"/>
  <c r="K21" i="7"/>
  <c r="J21" i="7" s="1"/>
  <c r="I20" i="7"/>
  <c r="S12" i="7" l="1"/>
  <c r="T12" i="7"/>
  <c r="AA12" i="7"/>
  <c r="AF12" i="7"/>
  <c r="AD11" i="7"/>
  <c r="G13" i="7"/>
  <c r="E12" i="7"/>
  <c r="N13" i="7" s="1"/>
  <c r="V12" i="7" s="1"/>
  <c r="AD12" i="7" s="1"/>
  <c r="L21" i="7"/>
  <c r="H21" i="7" s="1"/>
  <c r="K22" i="7"/>
  <c r="J22" i="7" s="1"/>
  <c r="I21" i="7"/>
  <c r="Z12" i="7" l="1"/>
  <c r="T13" i="7"/>
  <c r="F13" i="7"/>
  <c r="P14" i="7"/>
  <c r="X13" i="7" s="1"/>
  <c r="R12" i="7"/>
  <c r="E13" i="7"/>
  <c r="N14" i="7" s="1"/>
  <c r="V13" i="7" s="1"/>
  <c r="AD13" i="7" s="1"/>
  <c r="L22" i="7"/>
  <c r="H22" i="7" s="1"/>
  <c r="K23" i="7"/>
  <c r="K24" i="7" s="1"/>
  <c r="I22" i="7"/>
  <c r="Z13" i="7" l="1"/>
  <c r="O14" i="7"/>
  <c r="S13" i="7"/>
  <c r="AF13" i="7"/>
  <c r="G14" i="7"/>
  <c r="R13" i="7"/>
  <c r="K25" i="7"/>
  <c r="I24" i="7"/>
  <c r="L24" i="7"/>
  <c r="H24" i="7" s="1"/>
  <c r="L23" i="7"/>
  <c r="H23" i="7" s="1"/>
  <c r="I23" i="7"/>
  <c r="E14" i="7" l="1"/>
  <c r="R14" i="7" s="1"/>
  <c r="F14" i="7"/>
  <c r="S14" i="7" s="1"/>
  <c r="W13" i="7"/>
  <c r="AA13" i="7" s="1"/>
  <c r="T14" i="7"/>
  <c r="P15" i="7"/>
  <c r="X14" i="7" s="1"/>
  <c r="N15" i="7"/>
  <c r="I25" i="7"/>
  <c r="K26" i="7"/>
  <c r="L25" i="7"/>
  <c r="H25" i="7" s="1"/>
  <c r="O15" i="7" l="1"/>
  <c r="W14" i="7" s="1"/>
  <c r="AE14" i="7" s="1"/>
  <c r="AE13" i="7"/>
  <c r="AF14" i="7"/>
  <c r="G15" i="7"/>
  <c r="V14" i="7"/>
  <c r="AD14" i="7" s="1"/>
  <c r="K27" i="7"/>
  <c r="L26" i="7"/>
  <c r="H26" i="7" s="1"/>
  <c r="I26" i="7"/>
  <c r="AA14" i="7" l="1"/>
  <c r="Z14" i="7"/>
  <c r="T15" i="7"/>
  <c r="F15" i="7"/>
  <c r="P16" i="7"/>
  <c r="X15" i="7" s="1"/>
  <c r="E15" i="7"/>
  <c r="L27" i="7"/>
  <c r="H27" i="7" s="1"/>
  <c r="I27" i="7"/>
  <c r="S15" i="7" l="1"/>
  <c r="O16" i="7"/>
  <c r="AF15" i="7"/>
  <c r="G16" i="7"/>
  <c r="N16" i="7"/>
  <c r="V15" i="7" s="1"/>
  <c r="AD15" i="7" s="1"/>
  <c r="R15" i="7"/>
  <c r="Z15" i="7" l="1"/>
  <c r="T16" i="7"/>
  <c r="F16" i="7"/>
  <c r="S16" i="7" s="1"/>
  <c r="W15" i="7"/>
  <c r="AA15" i="7" s="1"/>
  <c r="P17" i="7"/>
  <c r="X16" i="7" s="1"/>
  <c r="E16" i="7"/>
  <c r="R16" i="7" s="1"/>
  <c r="O17" i="7" l="1"/>
  <c r="W16" i="7" s="1"/>
  <c r="AE16" i="7" s="1"/>
  <c r="AE15" i="7"/>
  <c r="AF16" i="7"/>
  <c r="G17" i="7"/>
  <c r="N17" i="7"/>
  <c r="AA16" i="7" l="1"/>
  <c r="E17" i="7"/>
  <c r="F17" i="7"/>
  <c r="P18" i="7"/>
  <c r="X17" i="7" s="1"/>
  <c r="N18" i="7"/>
  <c r="V17" i="7" s="1"/>
  <c r="AD17" i="7" s="1"/>
  <c r="T17" i="7"/>
  <c r="V16" i="7"/>
  <c r="Z16" i="7" s="1"/>
  <c r="R17" i="7"/>
  <c r="Z17" i="7" l="1"/>
  <c r="S17" i="7"/>
  <c r="O18" i="7"/>
  <c r="AD16" i="7"/>
  <c r="AF17" i="7"/>
  <c r="G18" i="7"/>
  <c r="D4" i="7"/>
  <c r="F18" i="7" l="1"/>
  <c r="S18" i="7" s="1"/>
  <c r="W17" i="7"/>
  <c r="AA17" i="7" s="1"/>
  <c r="P19" i="7"/>
  <c r="E18" i="7"/>
  <c r="T18" i="7"/>
  <c r="Q4" i="7"/>
  <c r="M5" i="7" s="1"/>
  <c r="O19" i="7" l="1"/>
  <c r="W18" i="7" s="1"/>
  <c r="AE17" i="7"/>
  <c r="N19" i="7"/>
  <c r="R18" i="7"/>
  <c r="X18" i="7"/>
  <c r="G19" i="7"/>
  <c r="U4" i="7"/>
  <c r="Y4" i="7" s="1"/>
  <c r="D5" i="7"/>
  <c r="AA18" i="7" l="1"/>
  <c r="E19" i="7"/>
  <c r="R19" i="7" s="1"/>
  <c r="F19" i="7"/>
  <c r="AE18" i="7"/>
  <c r="AF18" i="7"/>
  <c r="AC4" i="7"/>
  <c r="T19" i="7"/>
  <c r="P20" i="7"/>
  <c r="V18" i="7"/>
  <c r="AD18" i="7" s="1"/>
  <c r="Q5" i="7"/>
  <c r="M6" i="7" s="1"/>
  <c r="N20" i="7" l="1"/>
  <c r="V19" i="7" s="1"/>
  <c r="AD19" i="7" s="1"/>
  <c r="Z18" i="7"/>
  <c r="O20" i="7"/>
  <c r="S19" i="7"/>
  <c r="X19" i="7"/>
  <c r="G20" i="7"/>
  <c r="U5" i="7"/>
  <c r="Y5" i="7" s="1"/>
  <c r="D6" i="7"/>
  <c r="Z19" i="7" l="1"/>
  <c r="E20" i="7"/>
  <c r="N21" i="7" s="1"/>
  <c r="V20" i="7" s="1"/>
  <c r="AD20" i="7" s="1"/>
  <c r="F20" i="7"/>
  <c r="O21" i="7" s="1"/>
  <c r="W19" i="7"/>
  <c r="AA19" i="7" s="1"/>
  <c r="AF19" i="7"/>
  <c r="AC5" i="7"/>
  <c r="P21" i="7"/>
  <c r="G21" i="7" s="1"/>
  <c r="T20" i="7"/>
  <c r="Q6" i="7"/>
  <c r="M7" i="7" s="1"/>
  <c r="R20" i="7" l="1"/>
  <c r="S20" i="7"/>
  <c r="AE19" i="7"/>
  <c r="W20" i="7"/>
  <c r="AE20" i="7" s="1"/>
  <c r="E21" i="7"/>
  <c r="R21" i="7" s="1"/>
  <c r="F21" i="7"/>
  <c r="O22" i="7" s="1"/>
  <c r="X20" i="7"/>
  <c r="T21" i="7"/>
  <c r="P22" i="7"/>
  <c r="U6" i="7"/>
  <c r="Y6" i="7" s="1"/>
  <c r="D7" i="7"/>
  <c r="Z20" i="7" l="1"/>
  <c r="AA20" i="7"/>
  <c r="N22" i="7"/>
  <c r="V21" i="7" s="1"/>
  <c r="AD21" i="7" s="1"/>
  <c r="W21" i="7"/>
  <c r="AE21" i="7" s="1"/>
  <c r="D7" i="8" s="1"/>
  <c r="C4" i="8"/>
  <c r="D4" i="8" s="1"/>
  <c r="S21" i="7"/>
  <c r="AF20" i="7"/>
  <c r="AC6" i="7"/>
  <c r="X21" i="7"/>
  <c r="G22" i="7"/>
  <c r="F22" i="7" s="1"/>
  <c r="S22" i="7" s="1"/>
  <c r="Q7" i="7"/>
  <c r="M8" i="7" s="1"/>
  <c r="U7" i="7" s="1"/>
  <c r="Y7" i="7" s="1"/>
  <c r="Z21" i="7" l="1"/>
  <c r="AA21" i="7"/>
  <c r="W22" i="7"/>
  <c r="AF21" i="7"/>
  <c r="AC7" i="7"/>
  <c r="E22" i="7"/>
  <c r="P23" i="7"/>
  <c r="T22" i="7"/>
  <c r="D8" i="7"/>
  <c r="AE22" i="7" l="1"/>
  <c r="B4" i="8"/>
  <c r="E4" i="8" s="1"/>
  <c r="X22" i="7"/>
  <c r="AA22" i="7" s="1"/>
  <c r="G23" i="7"/>
  <c r="R22" i="7"/>
  <c r="N23" i="7"/>
  <c r="Q8" i="7"/>
  <c r="M9" i="7" s="1"/>
  <c r="U8" i="7" s="1"/>
  <c r="Y8" i="7" s="1"/>
  <c r="F6" i="8" l="1"/>
  <c r="F4" i="8"/>
  <c r="AF22" i="7"/>
  <c r="AC8" i="7"/>
  <c r="V22" i="7"/>
  <c r="AD22" i="7" s="1"/>
  <c r="E23" i="7"/>
  <c r="N24" i="7" s="1"/>
  <c r="V23" i="7" s="1"/>
  <c r="AD23" i="7" s="1"/>
  <c r="T23" i="7"/>
  <c r="P24" i="7"/>
  <c r="D9" i="7"/>
  <c r="Q9" i="7" s="1"/>
  <c r="M10" i="7" s="1"/>
  <c r="U9" i="7" s="1"/>
  <c r="Y9" i="7" s="1"/>
  <c r="Z22" i="7" l="1"/>
  <c r="AC9" i="7"/>
  <c r="R23" i="7"/>
  <c r="X23" i="7"/>
  <c r="G24" i="7"/>
  <c r="D10" i="7"/>
  <c r="Q10" i="7" s="1"/>
  <c r="M11" i="7" s="1"/>
  <c r="U10" i="7" s="1"/>
  <c r="Y10" i="7" s="1"/>
  <c r="Z23" i="7" l="1"/>
  <c r="AA23" i="7"/>
  <c r="AF23" i="7"/>
  <c r="AC10" i="7"/>
  <c r="E24" i="7"/>
  <c r="T24" i="7"/>
  <c r="P25" i="7"/>
  <c r="D11" i="7"/>
  <c r="Q11" i="7" s="1"/>
  <c r="M12" i="7" s="1"/>
  <c r="C6" i="8" s="1"/>
  <c r="U11" i="7" l="1"/>
  <c r="Y11" i="7" s="1"/>
  <c r="X24" i="7"/>
  <c r="AA24" i="7" s="1"/>
  <c r="G25" i="7"/>
  <c r="E25" i="7" s="1"/>
  <c r="N25" i="7"/>
  <c r="R24" i="7"/>
  <c r="D12" i="7"/>
  <c r="AF24" i="7" l="1"/>
  <c r="AC11" i="7"/>
  <c r="T25" i="7"/>
  <c r="P26" i="7"/>
  <c r="X25" i="7" s="1"/>
  <c r="AA25" i="7" s="1"/>
  <c r="R25" i="7"/>
  <c r="V24" i="7"/>
  <c r="AD24" i="7" s="1"/>
  <c r="N26" i="7"/>
  <c r="V25" i="7" s="1"/>
  <c r="AD25" i="7" s="1"/>
  <c r="Q12" i="7"/>
  <c r="M13" i="7" s="1"/>
  <c r="Z25" i="7" l="1"/>
  <c r="Z24" i="7"/>
  <c r="AF25" i="7"/>
  <c r="G26" i="7"/>
  <c r="E26" i="7" s="1"/>
  <c r="R26" i="7" s="1"/>
  <c r="U12" i="7"/>
  <c r="Y12" i="7" s="1"/>
  <c r="D13" i="7"/>
  <c r="Q13" i="7" s="1"/>
  <c r="AC12" i="7" l="1"/>
  <c r="N27" i="7"/>
  <c r="C3" i="8" s="1"/>
  <c r="D3" i="8" s="1"/>
  <c r="P27" i="7"/>
  <c r="T26" i="7"/>
  <c r="M14" i="7"/>
  <c r="V26" i="7" l="1"/>
  <c r="AD26" i="7" s="1"/>
  <c r="C5" i="8"/>
  <c r="D5" i="8" s="1"/>
  <c r="G27" i="7"/>
  <c r="X26" i="7"/>
  <c r="U13" i="7"/>
  <c r="Y13" i="7" s="1"/>
  <c r="D14" i="7"/>
  <c r="Z26" i="7" l="1"/>
  <c r="AA26" i="7"/>
  <c r="AC13" i="7"/>
  <c r="AF26" i="7"/>
  <c r="E27" i="7"/>
  <c r="X27" i="7"/>
  <c r="AA27" i="7" s="1"/>
  <c r="T27" i="7"/>
  <c r="Q14" i="7"/>
  <c r="M15" i="7" s="1"/>
  <c r="AA34" i="7" l="1"/>
  <c r="B5" i="8"/>
  <c r="E5" i="8" s="1"/>
  <c r="AF27" i="7"/>
  <c r="F5" i="8" s="1"/>
  <c r="V27" i="7"/>
  <c r="R27" i="7"/>
  <c r="U14" i="7"/>
  <c r="Y14" i="7" s="1"/>
  <c r="D15" i="7"/>
  <c r="Q15" i="7" s="1"/>
  <c r="Z27" i="7" l="1"/>
  <c r="Z34" i="7" s="1"/>
  <c r="AC14" i="7"/>
  <c r="B3" i="8"/>
  <c r="E3" i="8" s="1"/>
  <c r="AD27" i="7"/>
  <c r="M16" i="7"/>
  <c r="F3" i="8" l="1"/>
  <c r="U15" i="7"/>
  <c r="Y15" i="7" s="1"/>
  <c r="D16" i="7"/>
  <c r="Q16" i="7" s="1"/>
  <c r="AC15" i="7" l="1"/>
  <c r="M17" i="7"/>
  <c r="U16" i="7" l="1"/>
  <c r="Y16" i="7" s="1"/>
  <c r="D17" i="7"/>
  <c r="Q17" i="7" s="1"/>
  <c r="AC16" i="7" l="1"/>
  <c r="M18" i="7"/>
  <c r="U17" i="7" l="1"/>
  <c r="Y17" i="7" s="1"/>
  <c r="D18" i="7"/>
  <c r="Q18" i="7" s="1"/>
  <c r="M19" i="7" s="1"/>
  <c r="AC17" i="7" l="1"/>
  <c r="U18" i="7"/>
  <c r="Y18" i="7" s="1"/>
  <c r="D19" i="7"/>
  <c r="Q19" i="7" s="1"/>
  <c r="AC18" i="7" l="1"/>
  <c r="M20" i="7"/>
  <c r="U19" i="7" l="1"/>
  <c r="Y19" i="7" s="1"/>
  <c r="D20" i="7"/>
  <c r="Q20" i="7" s="1"/>
  <c r="AC19" i="7" l="1"/>
  <c r="M21" i="7"/>
  <c r="U20" i="7" l="1"/>
  <c r="Y20" i="7" s="1"/>
  <c r="D21" i="7"/>
  <c r="Q21" i="7" s="1"/>
  <c r="AC20" i="7" l="1"/>
  <c r="M22" i="7"/>
  <c r="U21" i="7" l="1"/>
  <c r="Y21" i="7" s="1"/>
  <c r="D22" i="7"/>
  <c r="Q22" i="7" s="1"/>
  <c r="AC21" i="7" l="1"/>
  <c r="M23" i="7"/>
  <c r="U22" i="7" l="1"/>
  <c r="Y22" i="7" s="1"/>
  <c r="D23" i="7"/>
  <c r="Q23" i="7" s="1"/>
  <c r="AC22" i="7" l="1"/>
  <c r="M24" i="7"/>
  <c r="U23" i="7" l="1"/>
  <c r="Y23" i="7" s="1"/>
  <c r="D24" i="7"/>
  <c r="Q24" i="7" s="1"/>
  <c r="AC23" i="7" l="1"/>
  <c r="M25" i="7"/>
  <c r="U24" i="7" l="1"/>
  <c r="Y24" i="7" s="1"/>
  <c r="D25" i="7"/>
  <c r="Q25" i="7" s="1"/>
  <c r="AC24" i="7" l="1"/>
  <c r="M26" i="7"/>
  <c r="U25" i="7" l="1"/>
  <c r="Y25" i="7" s="1"/>
  <c r="D26" i="7"/>
  <c r="Q26" i="7" s="1"/>
  <c r="M27" i="7" s="1"/>
  <c r="AC25" i="7" l="1"/>
  <c r="D27" i="7"/>
  <c r="U26" i="7"/>
  <c r="Y26" i="7" s="1"/>
  <c r="C2" i="8"/>
  <c r="D2" i="8" s="1"/>
  <c r="AC26" i="7" l="1"/>
  <c r="Q27" i="7"/>
  <c r="U27" i="7"/>
  <c r="Y27" i="7" l="1"/>
  <c r="B6" i="8" s="1"/>
  <c r="B2" i="8"/>
  <c r="E2" i="8" s="1"/>
  <c r="AC27" i="7"/>
  <c r="F2" i="8" s="1"/>
  <c r="Y34" i="7" l="1"/>
  <c r="E6" i="8"/>
  <c r="D6" i="8"/>
  <c r="G6" i="8"/>
</calcChain>
</file>

<file path=xl/sharedStrings.xml><?xml version="1.0" encoding="utf-8"?>
<sst xmlns="http://schemas.openxmlformats.org/spreadsheetml/2006/main" count="87" uniqueCount="85">
  <si>
    <t>Year</t>
  </si>
  <si>
    <t>Married</t>
  </si>
  <si>
    <t>Count</t>
  </si>
  <si>
    <t>Payoff amount</t>
  </si>
  <si>
    <t>REPAYE</t>
  </si>
  <si>
    <t>Family Size</t>
  </si>
  <si>
    <t>Federal Poverty Line</t>
  </si>
  <si>
    <t>Year 2016</t>
  </si>
  <si>
    <r>
      <t xml:space="preserve">Salary excluding 150% of Fed Pov Line, </t>
    </r>
    <r>
      <rPr>
        <sz val="12"/>
        <color rgb="FFFF0000"/>
        <rFont val="Calibri"/>
        <family val="2"/>
        <scheme val="minor"/>
      </rPr>
      <t>REPAYE</t>
    </r>
  </si>
  <si>
    <r>
      <t xml:space="preserve">Loan Balance under </t>
    </r>
    <r>
      <rPr>
        <sz val="12"/>
        <color rgb="FFFF0000"/>
        <rFont val="Calibri"/>
        <family val="2"/>
        <scheme val="minor"/>
      </rPr>
      <t>REPAYE</t>
    </r>
  </si>
  <si>
    <r>
      <t xml:space="preserve">Loan Balance under </t>
    </r>
    <r>
      <rPr>
        <sz val="12"/>
        <color rgb="FFFF0000"/>
        <rFont val="Calibri"/>
        <family val="2"/>
        <scheme val="minor"/>
      </rPr>
      <t>PAYE</t>
    </r>
  </si>
  <si>
    <r>
      <t xml:space="preserve">Annual Interest Accrual </t>
    </r>
    <r>
      <rPr>
        <sz val="12"/>
        <color rgb="FFFF0000"/>
        <rFont val="Calibri"/>
        <family val="2"/>
        <scheme val="minor"/>
      </rPr>
      <t>REPAYE</t>
    </r>
  </si>
  <si>
    <r>
      <t xml:space="preserve">Annual Interest Accrual </t>
    </r>
    <r>
      <rPr>
        <sz val="12"/>
        <color rgb="FFFF0000"/>
        <rFont val="Calibri"/>
        <family val="2"/>
        <scheme val="minor"/>
      </rPr>
      <t>old IBR</t>
    </r>
  </si>
  <si>
    <r>
      <t xml:space="preserve">Annual Interest Accrual </t>
    </r>
    <r>
      <rPr>
        <sz val="12"/>
        <color rgb="FFFF0000"/>
        <rFont val="Calibri"/>
        <family val="2"/>
        <scheme val="minor"/>
      </rPr>
      <t>PAYE</t>
    </r>
  </si>
  <si>
    <r>
      <t xml:space="preserve">Annual Interest Accrual </t>
    </r>
    <r>
      <rPr>
        <sz val="12"/>
        <color rgb="FFFF0000"/>
        <rFont val="Calibri"/>
        <family val="2"/>
        <scheme val="minor"/>
      </rPr>
      <t>Standard</t>
    </r>
  </si>
  <si>
    <r>
      <t xml:space="preserve">Monthly Payment under </t>
    </r>
    <r>
      <rPr>
        <sz val="12"/>
        <color rgb="FFFF0000"/>
        <rFont val="Calibri"/>
        <family val="2"/>
        <scheme val="minor"/>
      </rPr>
      <t>REPAYE</t>
    </r>
  </si>
  <si>
    <r>
      <t xml:space="preserve">Monthly Payment under      </t>
    </r>
    <r>
      <rPr>
        <sz val="12"/>
        <color rgb="FFFF0000"/>
        <rFont val="Calibri"/>
        <family val="2"/>
        <scheme val="minor"/>
      </rPr>
      <t>PAYE</t>
    </r>
  </si>
  <si>
    <r>
      <t xml:space="preserve">Monthly Payment under </t>
    </r>
    <r>
      <rPr>
        <sz val="12"/>
        <color rgb="FFFF0000"/>
        <rFont val="Calibri"/>
        <family val="2"/>
        <scheme val="minor"/>
      </rPr>
      <t>Standard</t>
    </r>
  </si>
  <si>
    <r>
      <t xml:space="preserve">Salary excluding 150% of Fed Pov Line,      </t>
    </r>
    <r>
      <rPr>
        <sz val="12"/>
        <color rgb="FFFF0000"/>
        <rFont val="Calibri"/>
        <family val="2"/>
        <scheme val="minor"/>
      </rPr>
      <t>old IBR</t>
    </r>
  </si>
  <si>
    <t>Individual Income</t>
  </si>
  <si>
    <t>Joint Marital Income</t>
  </si>
  <si>
    <r>
      <t xml:space="preserve">Salary excluding 150% of Fed Pov Line,      </t>
    </r>
    <r>
      <rPr>
        <sz val="12"/>
        <color rgb="FFFF0000"/>
        <rFont val="Calibri"/>
        <family val="2"/>
        <scheme val="minor"/>
      </rPr>
      <t xml:space="preserve">PAYE </t>
    </r>
  </si>
  <si>
    <r>
      <t xml:space="preserve">Loan Balance under </t>
    </r>
    <r>
      <rPr>
        <sz val="12"/>
        <color rgb="FFFF0000"/>
        <rFont val="Calibri"/>
        <family val="2"/>
        <scheme val="minor"/>
      </rPr>
      <t>Standard</t>
    </r>
  </si>
  <si>
    <r>
      <t xml:space="preserve">Monthly Payment under           </t>
    </r>
    <r>
      <rPr>
        <sz val="12"/>
        <color rgb="FFFF0000"/>
        <rFont val="Calibri"/>
        <family val="2"/>
        <scheme val="minor"/>
      </rPr>
      <t>old IBR</t>
    </r>
  </si>
  <si>
    <t>Interpolated Salary Growth Rate</t>
  </si>
  <si>
    <t>Old IBR</t>
  </si>
  <si>
    <t>Standard</t>
  </si>
  <si>
    <t>Total Cost of Loan Program</t>
  </si>
  <si>
    <t>Latest Year for Loan Forgiveness</t>
  </si>
  <si>
    <t>Year First Eligible for Forgiveness</t>
  </si>
  <si>
    <t>N/A</t>
  </si>
  <si>
    <t>Interpolated Spousal Salary Growth Rate</t>
  </si>
  <si>
    <r>
      <t xml:space="preserve">Yearly Payment under </t>
    </r>
    <r>
      <rPr>
        <sz val="12"/>
        <color rgb="FFFF0000"/>
        <rFont val="Calibri"/>
        <family val="2"/>
        <scheme val="minor"/>
      </rPr>
      <t>REPAYE</t>
    </r>
  </si>
  <si>
    <r>
      <t xml:space="preserve">Yearly  Payment under           </t>
    </r>
    <r>
      <rPr>
        <sz val="12"/>
        <color rgb="FFFF0000"/>
        <rFont val="Calibri"/>
        <family val="2"/>
        <scheme val="minor"/>
      </rPr>
      <t>old IBR</t>
    </r>
  </si>
  <si>
    <r>
      <t xml:space="preserve">Yearly Payment under      </t>
    </r>
    <r>
      <rPr>
        <sz val="12"/>
        <color rgb="FFFF0000"/>
        <rFont val="Calibri"/>
        <family val="2"/>
        <scheme val="minor"/>
      </rPr>
      <t>PAYE</t>
    </r>
  </si>
  <si>
    <r>
      <t xml:space="preserve">Yearly Payment under </t>
    </r>
    <r>
      <rPr>
        <sz val="12"/>
        <color rgb="FFFF0000"/>
        <rFont val="Calibri"/>
        <family val="2"/>
        <scheme val="minor"/>
      </rPr>
      <t>Standard</t>
    </r>
  </si>
  <si>
    <t>PAYE</t>
  </si>
  <si>
    <r>
      <t xml:space="preserve">Loan Balance under </t>
    </r>
    <r>
      <rPr>
        <sz val="12"/>
        <color rgb="FFFF0000"/>
        <rFont val="Calibri"/>
        <family val="2"/>
        <scheme val="minor"/>
      </rPr>
      <t>old IBR</t>
    </r>
  </si>
  <si>
    <t>Facts based on what you entered above (do not enter data into these cells)</t>
  </si>
  <si>
    <t xml:space="preserve">Paying Loan Since What Year? </t>
  </si>
  <si>
    <t xml:space="preserve">Federal Poverty Line for your family size  </t>
  </si>
  <si>
    <t>Observe yellow cell values, enter nothing as they contain formulas</t>
  </si>
  <si>
    <t xml:space="preserve">Click to Go to Simulation Results </t>
  </si>
  <si>
    <t>After entering data into green cells, press the blue link to see the results</t>
  </si>
  <si>
    <t>Public Service Loan Forgiveness</t>
  </si>
  <si>
    <t>Earliest Year for PSLF Loan Forgiveness</t>
  </si>
  <si>
    <r>
      <t xml:space="preserve">PSLF Yearly Payment under </t>
    </r>
    <r>
      <rPr>
        <sz val="12"/>
        <color rgb="FFFF0000"/>
        <rFont val="Calibri"/>
        <family val="2"/>
        <scheme val="minor"/>
      </rPr>
      <t>REPAYE</t>
    </r>
  </si>
  <si>
    <r>
      <t xml:space="preserve">PSLF Yearly Payment under </t>
    </r>
    <r>
      <rPr>
        <sz val="12"/>
        <color rgb="FFFF0000"/>
        <rFont val="Calibri"/>
        <family val="2"/>
        <scheme val="minor"/>
      </rPr>
      <t>Standard</t>
    </r>
  </si>
  <si>
    <r>
      <t xml:space="preserve">Match </t>
    </r>
    <r>
      <rPr>
        <sz val="12"/>
        <color rgb="FFFF0000"/>
        <rFont val="Calibri"/>
        <family val="2"/>
        <scheme val="minor"/>
      </rPr>
      <t>REPAYE Payoff</t>
    </r>
  </si>
  <si>
    <r>
      <t xml:space="preserve">Match </t>
    </r>
    <r>
      <rPr>
        <sz val="12"/>
        <color rgb="FFFF0000"/>
        <rFont val="Calibri"/>
        <family val="2"/>
        <scheme val="minor"/>
      </rPr>
      <t>old IBR Payoff</t>
    </r>
  </si>
  <si>
    <r>
      <t xml:space="preserve">Match </t>
    </r>
    <r>
      <rPr>
        <sz val="12"/>
        <color rgb="FFFF0000"/>
        <rFont val="Calibri"/>
        <family val="2"/>
        <scheme val="minor"/>
      </rPr>
      <t>old PAYE Payoff</t>
    </r>
  </si>
  <si>
    <r>
      <t>Match</t>
    </r>
    <r>
      <rPr>
        <sz val="12"/>
        <color rgb="FFFF0000"/>
        <rFont val="Calibri"/>
        <family val="2"/>
        <scheme val="minor"/>
      </rPr>
      <t xml:space="preserve"> Standard Payoff</t>
    </r>
  </si>
  <si>
    <t>First Monthly Payment</t>
  </si>
  <si>
    <t>Forgiveness not available for private loans</t>
  </si>
  <si>
    <t>Yes</t>
  </si>
  <si>
    <r>
      <t xml:space="preserve">Federal Tax Rate Assumption      </t>
    </r>
    <r>
      <rPr>
        <sz val="10"/>
        <color theme="1"/>
        <rFont val="Calibri"/>
        <family val="2"/>
        <scheme val="minor"/>
      </rPr>
      <t>(Feel Free to Use a Different Number)</t>
    </r>
  </si>
  <si>
    <r>
      <t xml:space="preserve">State and Local Tax Rate Assumption         </t>
    </r>
    <r>
      <rPr>
        <sz val="10"/>
        <color theme="1"/>
        <rFont val="Calibri"/>
        <family val="2"/>
        <scheme val="minor"/>
      </rPr>
      <t>(Feel Free to Use a Different Number)</t>
    </r>
  </si>
  <si>
    <r>
      <t xml:space="preserve">What is Your Average Interest Rate? </t>
    </r>
    <r>
      <rPr>
        <sz val="10"/>
        <color theme="1"/>
        <rFont val="Calibri"/>
        <family val="2"/>
        <scheme val="minor"/>
      </rPr>
      <t>(estimate OK)</t>
    </r>
  </si>
  <si>
    <r>
      <t xml:space="preserve">Do you work in the not for profit sector? Answer </t>
    </r>
    <r>
      <rPr>
        <b/>
        <sz val="11"/>
        <color theme="1"/>
        <rFont val="Calibri"/>
        <family val="2"/>
        <scheme val="minor"/>
      </rPr>
      <t>Yes/</t>
    </r>
    <r>
      <rPr>
        <b/>
        <sz val="11"/>
        <color theme="1"/>
        <rFont val="Calibri"/>
        <family val="2"/>
        <scheme val="minor"/>
      </rPr>
      <t>No</t>
    </r>
    <r>
      <rPr>
        <sz val="11"/>
        <color theme="1"/>
        <rFont val="Calibri"/>
        <family val="2"/>
        <scheme val="minor"/>
      </rPr>
      <t xml:space="preserve"> </t>
    </r>
    <r>
      <rPr>
        <sz val="10"/>
        <color theme="1"/>
        <rFont val="Calibri"/>
        <family val="2"/>
        <scheme val="minor"/>
      </rPr>
      <t>(Examples include Fed, state, or local government, military, nonprofit charity, nonprofit hospital, public school district, public or nonprofit private university</t>
    </r>
  </si>
  <si>
    <r>
      <t xml:space="preserve">Original 10 year standard monthly payment when you started repaying your loans </t>
    </r>
    <r>
      <rPr>
        <sz val="10"/>
        <color theme="1"/>
        <rFont val="Calibri"/>
        <family val="2"/>
        <scheme val="minor"/>
      </rPr>
      <t>(You can find this on your loan servicer website)</t>
    </r>
  </si>
  <si>
    <r>
      <t xml:space="preserve">Family Size </t>
    </r>
    <r>
      <rPr>
        <sz val="10"/>
        <color theme="1"/>
        <rFont val="Calibri"/>
        <family val="2"/>
        <scheme val="minor"/>
      </rPr>
      <t>(include yourself)</t>
    </r>
  </si>
  <si>
    <r>
      <t xml:space="preserve">What is your Current Marital Status? </t>
    </r>
    <r>
      <rPr>
        <sz val="10"/>
        <color theme="1"/>
        <rFont val="Calibri"/>
        <family val="2"/>
        <scheme val="minor"/>
      </rPr>
      <t>(Married or Single)</t>
    </r>
  </si>
  <si>
    <r>
      <t xml:space="preserve">Year of Total Repayment     </t>
    </r>
    <r>
      <rPr>
        <sz val="11"/>
        <color theme="1"/>
        <rFont val="Calibri"/>
        <family val="2"/>
        <scheme val="minor"/>
      </rPr>
      <t>(if before forgiveness)</t>
    </r>
  </si>
  <si>
    <r>
      <t xml:space="preserve">Taxes Due         </t>
    </r>
    <r>
      <rPr>
        <sz val="11"/>
        <color theme="1"/>
        <rFont val="Calibri"/>
        <family val="2"/>
        <scheme val="minor"/>
      </rPr>
      <t>(using assumptions in the cells at the top right hand corner)</t>
    </r>
  </si>
  <si>
    <r>
      <t xml:space="preserve">Remaining Loan Balance </t>
    </r>
    <r>
      <rPr>
        <sz val="11"/>
        <color theme="1"/>
        <rFont val="Calibri"/>
        <family val="2"/>
        <scheme val="minor"/>
      </rPr>
      <t>(When Loans Are Forgiven)</t>
    </r>
  </si>
  <si>
    <r>
      <t xml:space="preserve">Total Payments </t>
    </r>
    <r>
      <rPr>
        <sz val="11"/>
        <color theme="1"/>
        <rFont val="Calibri"/>
        <family val="2"/>
        <scheme val="minor"/>
      </rPr>
      <t>(Until Payoff or Forgiveness)</t>
    </r>
  </si>
  <si>
    <t>No</t>
  </si>
  <si>
    <r>
      <t xml:space="preserve">Private Refinancing    </t>
    </r>
    <r>
      <rPr>
        <sz val="11"/>
        <color theme="1"/>
        <rFont val="Calibri"/>
        <family val="2"/>
        <scheme val="minor"/>
      </rPr>
      <t>(5 Year Variable Rate avg Interest 3%)*</t>
    </r>
  </si>
  <si>
    <t>*Interest Rate depends on your credit score. Please be advised that private refinancing is not eligible for PSLF or other income based payment plans</t>
  </si>
  <si>
    <t>yes</t>
  </si>
  <si>
    <t>Your Total Loan Balance</t>
  </si>
  <si>
    <t>Your Current Income</t>
  </si>
  <si>
    <r>
      <t xml:space="preserve">How fast will your salary grow after that? </t>
    </r>
    <r>
      <rPr>
        <sz val="10"/>
        <color theme="1"/>
        <rFont val="Calibri"/>
        <family val="2"/>
        <scheme val="minor"/>
      </rPr>
      <t>(Most people get 2%-3% for inflation)</t>
    </r>
  </si>
  <si>
    <r>
      <t xml:space="preserve">Year of Marriage or Expected Year of Marriage </t>
    </r>
    <r>
      <rPr>
        <sz val="10"/>
        <color theme="1"/>
        <rFont val="Calibri"/>
        <family val="2"/>
        <scheme val="minor"/>
      </rPr>
      <t>(if N/A then type 2100)</t>
    </r>
  </si>
  <si>
    <r>
      <rPr>
        <b/>
        <sz val="18"/>
        <color theme="1"/>
        <rFont val="Calibri"/>
        <family val="2"/>
        <scheme val="minor"/>
      </rPr>
      <t>The Millennial Moola Student Loan Analysis Tool</t>
    </r>
    <r>
      <rPr>
        <b/>
        <sz val="14"/>
        <color theme="1"/>
        <rFont val="Calibri"/>
        <family val="2"/>
        <scheme val="minor"/>
      </rPr>
      <t xml:space="preserve"> </t>
    </r>
    <r>
      <rPr>
        <b/>
        <sz val="18"/>
        <color theme="1"/>
        <rFont val="Calibri"/>
        <family val="2"/>
        <scheme val="minor"/>
      </rPr>
      <t>For Federal Loans,</t>
    </r>
    <r>
      <rPr>
        <b/>
        <sz val="14"/>
        <color theme="1"/>
        <rFont val="Calibri"/>
        <family val="2"/>
        <scheme val="minor"/>
      </rPr>
      <t xml:space="preserve"> © 2016 MillennialMoola.com
Directions: </t>
    </r>
    <r>
      <rPr>
        <sz val="14"/>
        <color theme="1"/>
        <rFont val="Calibri"/>
        <family val="2"/>
        <scheme val="minor"/>
      </rPr>
      <t>Fill in all your personal information in the boxes in green</t>
    </r>
  </si>
  <si>
    <t>What is your spouse's income today / when you get married?</t>
  </si>
  <si>
    <t>What is the max income you think you'll have in the future?</t>
  </si>
  <si>
    <t>What is the max income you think your spouse will have in the future?</t>
  </si>
  <si>
    <t>How many years will it take you to reach this max income?</t>
  </si>
  <si>
    <t>How many years until your spouse reaches this max income?</t>
  </si>
  <si>
    <t>*These are affiliate links. I may earn a small commission if you choose to refinance with either company.</t>
  </si>
  <si>
    <r>
      <rPr>
        <b/>
        <u/>
        <sz val="14"/>
        <color theme="1"/>
        <rFont val="Calibri"/>
        <family val="2"/>
        <scheme val="minor"/>
      </rPr>
      <t>Private Refinancing Options</t>
    </r>
    <r>
      <rPr>
        <sz val="14"/>
        <color theme="1"/>
        <rFont val="Calibri"/>
        <family val="2"/>
        <scheme val="minor"/>
      </rPr>
      <t xml:space="preserve"> 
</t>
    </r>
    <r>
      <rPr>
        <sz val="12"/>
        <color theme="1"/>
        <rFont val="Calibri"/>
        <family val="2"/>
        <scheme val="minor"/>
      </rPr>
      <t xml:space="preserve">
If the private refinancing option resulted in your cheapest total cost, click the picture links below to see if you can save thousands.</t>
    </r>
  </si>
  <si>
    <t xml:space="preserve">     
    Special $100 bonus                       for refinancing through                    Sofi.com/MillennialMoola</t>
  </si>
  <si>
    <r>
      <t xml:space="preserve">PSLF Yearly  Payment under                              </t>
    </r>
    <r>
      <rPr>
        <sz val="12"/>
        <color rgb="FFFF0000"/>
        <rFont val="Calibri"/>
        <family val="2"/>
        <scheme val="minor"/>
      </rPr>
      <t>old IBR</t>
    </r>
  </si>
  <si>
    <r>
      <t xml:space="preserve">PSLF Yearly Payment under                 </t>
    </r>
    <r>
      <rPr>
        <sz val="12"/>
        <color rgb="FFFF0000"/>
        <rFont val="Calibri"/>
        <family val="2"/>
        <scheme val="minor"/>
      </rPr>
      <t>PAYE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</si>
</sst>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quot;$&quot;#,##0.00"/>
    <numFmt numFmtId="165" formatCode="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0"/>
      <color theme="1"/>
      <name val="Calibri"/>
      <family val="2"/>
      <scheme val="minor"/>
    </font>
    <font>
      <sz val="12"/>
      <color rgb="FFFF0000"/>
      <name val="Calibri"/>
      <family val="2"/>
      <scheme val="minor"/>
    </font>
    <font>
      <sz val="14"/>
      <color theme="1"/>
      <name val="Calibri"/>
      <family val="2"/>
      <scheme val="minor"/>
    </font>
    <font>
      <sz val="9"/>
      <color theme="1"/>
      <name val="Calibri"/>
      <family val="2"/>
      <scheme val="minor"/>
    </font>
    <font>
      <b/>
      <sz val="11"/>
      <color theme="1"/>
      <name val="Calibri"/>
      <family val="2"/>
      <scheme val="minor"/>
    </font>
    <font>
      <b/>
      <sz val="14"/>
      <color theme="1"/>
      <name val="Calibri"/>
      <family val="2"/>
      <scheme val="minor"/>
    </font>
    <font>
      <u/>
      <sz val="14"/>
      <color rgb="FF0070C0"/>
      <name val="Calibri"/>
      <family val="2"/>
      <scheme val="minor"/>
    </font>
    <font>
      <b/>
      <sz val="18"/>
      <color theme="1"/>
      <name val="Calibri"/>
      <family val="2"/>
      <scheme val="minor"/>
    </font>
    <font>
      <b/>
      <u/>
      <sz val="14"/>
      <color theme="1"/>
      <name val="Calibri"/>
      <family val="2"/>
      <scheme val="minor"/>
    </font>
    <font>
      <sz val="12"/>
      <color theme="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E7E4D5"/>
        <bgColor indexed="64"/>
      </patternFill>
    </fill>
    <fill>
      <patternFill patternType="solid">
        <fgColor rgb="FFFFE38B"/>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s>
  <cellStyleXfs count="1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left"/>
    </xf>
    <xf numFmtId="164" fontId="0" fillId="0" borderId="0" xfId="7" applyNumberFormat="1" applyFont="1" applyAlignment="1">
      <alignment horizontal="center"/>
    </xf>
    <xf numFmtId="164" fontId="0" fillId="0" borderId="0" xfId="0" applyNumberFormat="1"/>
    <xf numFmtId="164" fontId="0" fillId="0" borderId="0" xfId="0" applyNumberForma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164" fontId="0" fillId="0" borderId="0" xfId="0" applyNumberFormat="1" applyAlignment="1">
      <alignment horizontal="center"/>
    </xf>
    <xf numFmtId="164" fontId="0" fillId="0" borderId="1" xfId="0" applyNumberFormat="1" applyBorder="1" applyAlignment="1">
      <alignment horizontal="center" vertical="center"/>
    </xf>
    <xf numFmtId="164" fontId="0" fillId="0" borderId="0" xfId="0" applyNumberFormat="1" applyAlignment="1">
      <alignment horizontal="center"/>
    </xf>
    <xf numFmtId="0" fontId="0" fillId="0" borderId="0" xfId="0" applyAlignment="1">
      <alignment horizontal="center"/>
    </xf>
    <xf numFmtId="0" fontId="0" fillId="0" borderId="0" xfId="0" applyAlignment="1"/>
    <xf numFmtId="164" fontId="0" fillId="0" borderId="0" xfId="0" applyNumberFormat="1" applyAlignment="1"/>
    <xf numFmtId="0" fontId="0" fillId="0" borderId="0" xfId="0" applyNumberFormat="1" applyAlignment="1">
      <alignment horizontal="center"/>
    </xf>
    <xf numFmtId="0" fontId="0" fillId="2" borderId="1" xfId="0" applyFill="1" applyBorder="1" applyAlignment="1">
      <alignment horizontal="center" vertical="center" wrapText="1"/>
    </xf>
    <xf numFmtId="0" fontId="0" fillId="0" borderId="1" xfId="0" applyNumberFormat="1" applyBorder="1" applyAlignment="1">
      <alignment horizontal="center" vertical="center"/>
    </xf>
    <xf numFmtId="44" fontId="0" fillId="0" borderId="0" xfId="7" applyFont="1"/>
    <xf numFmtId="9" fontId="0" fillId="4" borderId="3" xfId="0" applyNumberFormat="1" applyFill="1" applyBorder="1" applyAlignment="1">
      <alignment horizontal="center" vertical="center" wrapText="1"/>
    </xf>
    <xf numFmtId="0" fontId="0" fillId="6" borderId="1" xfId="0" applyFill="1" applyBorder="1"/>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10" fontId="0" fillId="6" borderId="1" xfId="8" applyNumberFormat="1" applyFont="1" applyFill="1" applyBorder="1" applyAlignment="1">
      <alignment horizontal="center" vertical="center"/>
    </xf>
    <xf numFmtId="9" fontId="0" fillId="6" borderId="1" xfId="8" applyFont="1" applyFill="1" applyBorder="1" applyAlignment="1">
      <alignment horizontal="center" vertical="center"/>
    </xf>
    <xf numFmtId="0" fontId="0" fillId="0" borderId="1" xfId="0" quotePrefix="1" applyBorder="1" applyAlignment="1">
      <alignment horizontal="center" vertical="center" wrapText="1"/>
    </xf>
    <xf numFmtId="0" fontId="7"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0" fillId="0" borderId="0" xfId="0" applyNumberFormat="1"/>
    <xf numFmtId="0" fontId="13" fillId="0" borderId="9" xfId="9" applyFont="1" applyFill="1" applyBorder="1" applyAlignment="1">
      <alignment horizontal="center" vertical="center" wrapText="1"/>
    </xf>
    <xf numFmtId="6" fontId="0" fillId="7" borderId="3" xfId="0" applyNumberFormat="1" applyFill="1" applyBorder="1" applyAlignment="1">
      <alignment horizontal="center" vertical="center"/>
    </xf>
    <xf numFmtId="10" fontId="0" fillId="7" borderId="1" xfId="0" applyNumberFormat="1" applyFill="1" applyBorder="1" applyAlignment="1">
      <alignment horizontal="center" vertical="center"/>
    </xf>
    <xf numFmtId="164" fontId="0" fillId="7" borderId="3" xfId="7" applyNumberFormat="1" applyFont="1" applyFill="1" applyBorder="1" applyAlignment="1">
      <alignment horizontal="center" vertical="center"/>
    </xf>
    <xf numFmtId="164" fontId="0" fillId="7" borderId="1" xfId="7" applyNumberFormat="1" applyFont="1" applyFill="1" applyBorder="1" applyAlignment="1">
      <alignment horizontal="center" vertical="center"/>
    </xf>
    <xf numFmtId="1" fontId="0" fillId="7" borderId="1" xfId="7" applyNumberFormat="1" applyFont="1" applyFill="1" applyBorder="1" applyAlignment="1">
      <alignment horizontal="center" vertical="center"/>
    </xf>
    <xf numFmtId="9" fontId="0" fillId="7" borderId="1" xfId="0" applyNumberFormat="1" applyFill="1" applyBorder="1" applyAlignment="1">
      <alignment horizontal="center" vertical="center"/>
    </xf>
    <xf numFmtId="0" fontId="0" fillId="7" borderId="1" xfId="0" applyFill="1" applyBorder="1" applyAlignment="1">
      <alignment horizontal="center" vertical="center"/>
    </xf>
    <xf numFmtId="3" fontId="3" fillId="4" borderId="3"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3" fontId="3" fillId="4" borderId="8" xfId="0" applyNumberFormat="1" applyFont="1" applyFill="1" applyBorder="1" applyAlignment="1">
      <alignment horizontal="center" vertical="center" wrapText="1"/>
    </xf>
    <xf numFmtId="3" fontId="3" fillId="4" borderId="1" xfId="0" applyNumberFormat="1"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wrapText="1"/>
    </xf>
    <xf numFmtId="0" fontId="2" fillId="4" borderId="3" xfId="0" applyFont="1" applyFill="1" applyBorder="1" applyAlignment="1">
      <alignment horizontal="center" vertical="center" wrapText="1"/>
    </xf>
    <xf numFmtId="0" fontId="9" fillId="0" borderId="0" xfId="0" applyFont="1" applyAlignment="1">
      <alignment vertical="center" wrapText="1"/>
    </xf>
    <xf numFmtId="0" fontId="0" fillId="2" borderId="6" xfId="0" applyFont="1" applyFill="1" applyBorder="1" applyAlignment="1">
      <alignment horizontal="center" vertical="center" wrapText="1"/>
    </xf>
    <xf numFmtId="0" fontId="9" fillId="0" borderId="10" xfId="0" applyFont="1" applyBorder="1" applyAlignment="1">
      <alignment vertical="top" wrapText="1"/>
    </xf>
    <xf numFmtId="0" fontId="2" fillId="0" borderId="1" xfId="0" applyNumberFormat="1" applyFont="1" applyBorder="1" applyAlignment="1">
      <alignment horizontal="center" vertical="center" wrapText="1"/>
    </xf>
    <xf numFmtId="0" fontId="7" fillId="0" borderId="0" xfId="0" applyFont="1"/>
    <xf numFmtId="3" fontId="2" fillId="4" borderId="3" xfId="0" applyNumberFormat="1" applyFont="1" applyFill="1" applyBorder="1" applyAlignment="1">
      <alignment horizontal="center" vertical="center" wrapText="1"/>
    </xf>
    <xf numFmtId="0" fontId="4" fillId="2" borderId="4" xfId="9" applyFill="1" applyBorder="1" applyAlignment="1">
      <alignment horizontal="center" vertical="center"/>
    </xf>
    <xf numFmtId="0" fontId="4" fillId="2" borderId="1" xfId="9" applyFill="1" applyBorder="1" applyAlignment="1">
      <alignment horizontal="center" vertical="center"/>
    </xf>
    <xf numFmtId="0" fontId="4" fillId="2" borderId="1" xfId="9" applyFill="1" applyBorder="1" applyAlignment="1">
      <alignment horizontal="center" vertical="center" wrapText="1"/>
    </xf>
    <xf numFmtId="0" fontId="2" fillId="3" borderId="2"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5" borderId="5" xfId="0" applyFill="1" applyBorder="1" applyAlignment="1">
      <alignment horizontal="center" vertical="center" wrapText="1"/>
    </xf>
    <xf numFmtId="0" fontId="0" fillId="0" borderId="7" xfId="0" quotePrefix="1" applyBorder="1" applyAlignment="1">
      <alignment horizontal="center" vertical="center" wrapText="1"/>
    </xf>
    <xf numFmtId="0" fontId="0" fillId="0" borderId="8" xfId="0" quotePrefix="1" applyBorder="1" applyAlignment="1">
      <alignment horizontal="center" vertical="center" wrapText="1"/>
    </xf>
    <xf numFmtId="0" fontId="0" fillId="0" borderId="3" xfId="0" quotePrefix="1" applyBorder="1" applyAlignment="1">
      <alignment horizontal="center" vertical="center" wrapText="1"/>
    </xf>
    <xf numFmtId="0" fontId="12" fillId="0" borderId="0" xfId="0" applyFont="1" applyAlignment="1">
      <alignment horizontal="left" vertical="center" wrapText="1"/>
    </xf>
    <xf numFmtId="0" fontId="9" fillId="0" borderId="10" xfId="0" applyFont="1" applyBorder="1" applyAlignment="1">
      <alignment horizontal="center" vertical="top" wrapText="1"/>
    </xf>
    <xf numFmtId="0" fontId="9" fillId="0" borderId="0" xfId="0" applyFont="1" applyBorder="1" applyAlignment="1">
      <alignment horizontal="center" vertical="top" wrapText="1"/>
    </xf>
    <xf numFmtId="0" fontId="16" fillId="0" borderId="0" xfId="9" applyFont="1" applyBorder="1" applyAlignment="1">
      <alignment horizontal="center" vertical="top" wrapText="1"/>
    </xf>
    <xf numFmtId="0" fontId="7" fillId="0" borderId="0" xfId="0" applyFont="1" applyBorder="1" applyAlignment="1">
      <alignment horizontal="left" wrapText="1"/>
    </xf>
  </cellXfs>
  <cellStyles count="10">
    <cellStyle name="Currency" xfId="7" builtinId="4"/>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Hyperlink" xfId="9" builtinId="8"/>
    <cellStyle name="Normal" xfId="0" builtinId="0"/>
    <cellStyle name="Percent" xfId="8" builtinId="5"/>
  </cellStyles>
  <dxfs count="2">
    <dxf>
      <fill>
        <patternFill>
          <bgColor theme="6" tint="0.39994506668294322"/>
        </patternFill>
      </fill>
    </dxf>
    <dxf>
      <fill>
        <patternFill>
          <bgColor rgb="FFFF7C80"/>
        </patternFill>
      </fill>
    </dxf>
  </dxfs>
  <tableStyles count="0" defaultTableStyle="TableStyleMedium9" defaultPivotStyle="PivotStyleMedium4"/>
  <colors>
    <mruColors>
      <color rgb="FFFF7C80"/>
      <color rgb="FFFFE38B"/>
      <color rgb="FFE7E4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commonbond.co/choose-your-loan?referrer=7147c4913b581612e931b2ae66cd58e9&amp;referred" TargetMode="External"/><Relationship Id="rId2" Type="http://schemas.openxmlformats.org/officeDocument/2006/relationships/image" Target="../media/image1.jpg"/><Relationship Id="rId1" Type="http://schemas.openxmlformats.org/officeDocument/2006/relationships/hyperlink" Target="https://www.sofi.com/millennialmoola" TargetMode="Externa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14101</xdr:colOff>
      <xdr:row>4</xdr:row>
      <xdr:rowOff>91728</xdr:rowOff>
    </xdr:from>
    <xdr:to>
      <xdr:col>9</xdr:col>
      <xdr:colOff>204606</xdr:colOff>
      <xdr:row>5</xdr:row>
      <xdr:rowOff>395123</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62434" y="2681117"/>
          <a:ext cx="853728" cy="853728"/>
        </a:xfrm>
        <a:prstGeom prst="rect">
          <a:avLst/>
        </a:prstGeom>
      </xdr:spPr>
    </xdr:pic>
    <xdr:clientData/>
  </xdr:twoCellAnchor>
  <xdr:twoCellAnchor editAs="oneCell">
    <xdr:from>
      <xdr:col>8</xdr:col>
      <xdr:colOff>42313</xdr:colOff>
      <xdr:row>5</xdr:row>
      <xdr:rowOff>365319</xdr:rowOff>
    </xdr:from>
    <xdr:to>
      <xdr:col>10</xdr:col>
      <xdr:colOff>649092</xdr:colOff>
      <xdr:row>6</xdr:row>
      <xdr:rowOff>402164</xdr:rowOff>
    </xdr:to>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90646" y="3505041"/>
          <a:ext cx="2455335" cy="6012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tudentaid.ed.gov/sa/sites/default/files/income-driven-repayment.pdf" TargetMode="External"/><Relationship Id="rId7" Type="http://schemas.openxmlformats.org/officeDocument/2006/relationships/printerSettings" Target="../printerSettings/printerSettings2.bin"/><Relationship Id="rId2" Type="http://schemas.openxmlformats.org/officeDocument/2006/relationships/hyperlink" Target="https://studentaid.ed.gov/sa/sites/default/files/income-driven-repayment.pdf" TargetMode="External"/><Relationship Id="rId1" Type="http://schemas.openxmlformats.org/officeDocument/2006/relationships/hyperlink" Target="https://studentaid.ed.gov/sa/about/announcements/repaye" TargetMode="External"/><Relationship Id="rId6" Type="http://schemas.openxmlformats.org/officeDocument/2006/relationships/hyperlink" Target="https://www.sofi.com/millennialmoola" TargetMode="External"/><Relationship Id="rId5" Type="http://schemas.openxmlformats.org/officeDocument/2006/relationships/hyperlink" Target="https://studentaid.ed.gov/sa/repay-loans/forgiveness-cancellation/public-service" TargetMode="External"/><Relationship Id="rId4" Type="http://schemas.openxmlformats.org/officeDocument/2006/relationships/hyperlink" Target="https://studentaid.ed.gov/sa/repay-loans/understand/plans/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2"/>
  <sheetViews>
    <sheetView showGridLines="0" tabSelected="1" workbookViewId="0">
      <selection sqref="A1:H1"/>
    </sheetView>
  </sheetViews>
  <sheetFormatPr defaultRowHeight="15.5" x14ac:dyDescent="0.35"/>
  <cols>
    <col min="1" max="1" width="20.33203125" customWidth="1"/>
    <col min="2" max="2" width="11.25" customWidth="1"/>
    <col min="3" max="3" width="12" customWidth="1"/>
    <col min="4" max="4" width="13.58203125" customWidth="1"/>
    <col min="5" max="5" width="16.25" customWidth="1"/>
    <col min="6" max="6" width="18" customWidth="1"/>
    <col min="7" max="7" width="16.58203125" customWidth="1"/>
    <col min="8" max="8" width="43.5" customWidth="1"/>
    <col min="9" max="9" width="9.4140625" customWidth="1"/>
    <col min="10" max="10" width="9.75" customWidth="1"/>
    <col min="11" max="11" width="8.58203125" customWidth="1"/>
    <col min="12" max="12" width="8.08203125" customWidth="1"/>
    <col min="13" max="13" width="7.83203125" customWidth="1"/>
    <col min="15" max="15" width="17.58203125" bestFit="1" customWidth="1"/>
    <col min="17" max="17" width="17.58203125" bestFit="1" customWidth="1"/>
    <col min="28" max="28" width="17.58203125" bestFit="1" customWidth="1"/>
    <col min="29" max="29" width="13.1640625" bestFit="1" customWidth="1"/>
    <col min="30" max="30" width="15.4140625" bestFit="1" customWidth="1"/>
    <col min="31" max="31" width="14.1640625" bestFit="1" customWidth="1"/>
    <col min="32" max="32" width="15.33203125" bestFit="1" customWidth="1"/>
  </cols>
  <sheetData>
    <row r="1" spans="1:36" ht="41" customHeight="1" x14ac:dyDescent="0.35">
      <c r="A1" s="61" t="s">
        <v>74</v>
      </c>
      <c r="B1" s="61"/>
      <c r="C1" s="61"/>
      <c r="D1" s="61"/>
      <c r="E1" s="61"/>
      <c r="F1" s="61"/>
      <c r="G1" s="61"/>
      <c r="H1" s="61"/>
      <c r="I1" s="6"/>
      <c r="J1" s="6"/>
      <c r="Z1" s="13" t="s">
        <v>7</v>
      </c>
      <c r="AA1" s="13" t="s">
        <v>5</v>
      </c>
      <c r="AB1" s="13" t="s">
        <v>6</v>
      </c>
    </row>
    <row r="2" spans="1:36" ht="7.5" customHeight="1" x14ac:dyDescent="0.35">
      <c r="Z2" s="1"/>
      <c r="AA2" s="1">
        <v>1</v>
      </c>
      <c r="AB2" s="4">
        <v>13670</v>
      </c>
    </row>
    <row r="3" spans="1:36" ht="74" customHeight="1" x14ac:dyDescent="0.35">
      <c r="A3" s="51" t="s">
        <v>70</v>
      </c>
      <c r="B3" s="38" t="s">
        <v>57</v>
      </c>
      <c r="C3" s="51" t="s">
        <v>71</v>
      </c>
      <c r="D3" s="51" t="s">
        <v>76</v>
      </c>
      <c r="E3" s="45" t="s">
        <v>78</v>
      </c>
      <c r="F3" s="45" t="s">
        <v>72</v>
      </c>
      <c r="G3" s="40" t="s">
        <v>39</v>
      </c>
      <c r="H3" s="41" t="s">
        <v>58</v>
      </c>
      <c r="Z3" s="1"/>
      <c r="AA3" s="1">
        <v>2</v>
      </c>
      <c r="AB3" s="4">
        <v>18430</v>
      </c>
      <c r="AD3" t="s">
        <v>54</v>
      </c>
    </row>
    <row r="4" spans="1:36" ht="52.5" customHeight="1" x14ac:dyDescent="0.35">
      <c r="A4" s="31">
        <v>150000</v>
      </c>
      <c r="B4" s="32">
        <v>6.8000000000000005E-2</v>
      </c>
      <c r="C4" s="33">
        <v>120000</v>
      </c>
      <c r="D4" s="34">
        <v>200000</v>
      </c>
      <c r="E4" s="35">
        <v>5</v>
      </c>
      <c r="F4" s="36">
        <v>0.04</v>
      </c>
      <c r="G4" s="37">
        <v>2014</v>
      </c>
      <c r="H4" s="37" t="s">
        <v>69</v>
      </c>
      <c r="Z4" s="15"/>
      <c r="AA4" s="1">
        <v>3</v>
      </c>
      <c r="AB4" s="4">
        <v>23190</v>
      </c>
      <c r="AD4" t="s">
        <v>66</v>
      </c>
    </row>
    <row r="5" spans="1:36" ht="10" customHeight="1" x14ac:dyDescent="0.35">
      <c r="G5" s="13"/>
      <c r="Z5" s="14"/>
      <c r="AA5" s="13">
        <v>4</v>
      </c>
      <c r="AB5" s="4">
        <v>27950</v>
      </c>
    </row>
    <row r="6" spans="1:36" ht="75.5" customHeight="1" x14ac:dyDescent="0.35">
      <c r="A6" s="38" t="s">
        <v>59</v>
      </c>
      <c r="B6" s="38" t="s">
        <v>60</v>
      </c>
      <c r="C6" s="39" t="s">
        <v>61</v>
      </c>
      <c r="D6" s="45" t="s">
        <v>73</v>
      </c>
      <c r="E6" s="45" t="s">
        <v>75</v>
      </c>
      <c r="F6" s="51" t="s">
        <v>77</v>
      </c>
      <c r="G6" s="45" t="s">
        <v>79</v>
      </c>
      <c r="H6" s="26" t="s">
        <v>43</v>
      </c>
      <c r="Z6" s="15"/>
      <c r="AA6" s="13">
        <v>5</v>
      </c>
      <c r="AB6" s="4">
        <v>32710</v>
      </c>
    </row>
    <row r="7" spans="1:36" ht="51.5" customHeight="1" x14ac:dyDescent="0.35">
      <c r="A7" s="34">
        <v>3000</v>
      </c>
      <c r="B7" s="37">
        <v>3</v>
      </c>
      <c r="C7" s="37" t="s">
        <v>1</v>
      </c>
      <c r="D7" s="37">
        <v>2012</v>
      </c>
      <c r="E7" s="34">
        <v>100000</v>
      </c>
      <c r="F7" s="34">
        <v>200000</v>
      </c>
      <c r="G7" s="35">
        <v>5</v>
      </c>
      <c r="H7" s="30" t="s">
        <v>42</v>
      </c>
      <c r="Z7" s="14"/>
      <c r="AA7" s="13">
        <v>6</v>
      </c>
      <c r="AB7" s="4">
        <v>37470</v>
      </c>
    </row>
    <row r="8" spans="1:36" ht="38.5" customHeight="1" x14ac:dyDescent="0.35">
      <c r="I8" s="7"/>
      <c r="Z8" s="7"/>
      <c r="AA8" s="9">
        <v>7</v>
      </c>
      <c r="AB8" s="4">
        <v>42230</v>
      </c>
    </row>
    <row r="9" spans="1:36" ht="48" customHeight="1" x14ac:dyDescent="0.35">
      <c r="Z9" s="5"/>
      <c r="AA9" s="16">
        <v>8</v>
      </c>
      <c r="AB9" s="4">
        <v>47010</v>
      </c>
    </row>
    <row r="10" spans="1:36" ht="60.5" customHeight="1" x14ac:dyDescent="0.35">
      <c r="K10" s="10"/>
    </row>
    <row r="11" spans="1:36" ht="27.5" customHeight="1" x14ac:dyDescent="0.35">
      <c r="E11" s="5"/>
      <c r="F11" s="5"/>
      <c r="H11" s="10"/>
      <c r="I11" s="10"/>
      <c r="J11" s="10"/>
      <c r="K11" s="10"/>
      <c r="X11" s="56" t="s">
        <v>38</v>
      </c>
      <c r="Y11" s="56"/>
      <c r="Z11" s="56"/>
      <c r="AA11" s="57"/>
      <c r="AB11" s="27" t="s">
        <v>28</v>
      </c>
      <c r="AC11" s="28" t="s">
        <v>40</v>
      </c>
      <c r="AD11" s="27" t="s">
        <v>31</v>
      </c>
      <c r="AE11" s="27" t="s">
        <v>24</v>
      </c>
      <c r="AF11" s="27" t="s">
        <v>45</v>
      </c>
    </row>
    <row r="12" spans="1:36" ht="24.5" customHeight="1" x14ac:dyDescent="0.35">
      <c r="C12" s="4"/>
      <c r="D12" s="4"/>
      <c r="E12" s="5"/>
      <c r="F12" s="5"/>
      <c r="H12" s="10"/>
      <c r="I12" s="10"/>
      <c r="J12" s="10"/>
      <c r="K12" s="10"/>
      <c r="X12" s="56"/>
      <c r="Y12" s="56"/>
      <c r="Z12" s="56"/>
      <c r="AA12" s="57"/>
      <c r="AB12" s="22">
        <f>G4+25</f>
        <v>2039</v>
      </c>
      <c r="AC12" s="23">
        <f>VLOOKUP(B7,AA2:AB9,2,FALSE)</f>
        <v>23190</v>
      </c>
      <c r="AD12" s="24">
        <f>IFERROR((1+($F$7-$E$7)/$E$7)^(1/$G$7)-1,0)</f>
        <v>0.1486983549970351</v>
      </c>
      <c r="AE12" s="25">
        <f>(1+((D4-C4)/C4))^(1/E4)-1</f>
        <v>0.10756634324828984</v>
      </c>
      <c r="AF12" s="22">
        <f>G4+10</f>
        <v>2024</v>
      </c>
      <c r="AI12" s="5"/>
      <c r="AJ12" s="5"/>
    </row>
    <row r="13" spans="1:36" ht="33" customHeight="1" x14ac:dyDescent="0.35">
      <c r="C13" s="4"/>
      <c r="D13" s="4"/>
      <c r="E13" s="5"/>
      <c r="F13" s="5"/>
      <c r="H13" s="10"/>
      <c r="I13" s="10"/>
      <c r="J13" s="10"/>
      <c r="K13" s="10"/>
    </row>
    <row r="14" spans="1:36" ht="42.5" customHeight="1" x14ac:dyDescent="0.35">
      <c r="C14" s="4"/>
      <c r="D14" s="4"/>
      <c r="E14" s="5"/>
      <c r="F14" s="5"/>
      <c r="H14" s="10"/>
      <c r="I14" s="10"/>
      <c r="J14" s="10"/>
      <c r="K14" s="10"/>
      <c r="Y14" s="21"/>
      <c r="Z14" s="58" t="s">
        <v>41</v>
      </c>
      <c r="AA14" s="59"/>
      <c r="AB14" s="60"/>
    </row>
    <row r="15" spans="1:36" ht="27" customHeight="1" x14ac:dyDescent="0.35">
      <c r="F15" s="5"/>
      <c r="H15" s="10"/>
      <c r="I15" s="10"/>
      <c r="J15" s="10"/>
      <c r="K15" s="10"/>
    </row>
    <row r="16" spans="1:36" ht="29" customHeight="1" x14ac:dyDescent="0.35">
      <c r="F16" s="5"/>
      <c r="H16" s="10"/>
      <c r="I16" s="10"/>
      <c r="J16" s="10"/>
      <c r="K16" s="10"/>
    </row>
    <row r="17" spans="1:11" ht="29.5" customHeight="1" x14ac:dyDescent="0.35">
      <c r="F17" s="5"/>
      <c r="H17" s="10"/>
      <c r="I17" s="10"/>
      <c r="J17" s="10"/>
      <c r="K17" s="10"/>
    </row>
    <row r="18" spans="1:11" ht="31.5" customHeight="1" x14ac:dyDescent="0.35">
      <c r="C18" s="4"/>
      <c r="D18" s="4"/>
      <c r="E18" s="5"/>
      <c r="F18" s="5"/>
      <c r="H18" s="10"/>
      <c r="I18" s="10"/>
      <c r="J18" s="10"/>
      <c r="K18" s="10"/>
    </row>
    <row r="19" spans="1:11" ht="29" customHeight="1" x14ac:dyDescent="0.35">
      <c r="E19" s="5"/>
      <c r="F19" s="5"/>
      <c r="H19" s="10"/>
      <c r="I19" s="10"/>
      <c r="J19" s="10"/>
      <c r="K19" s="10"/>
    </row>
    <row r="20" spans="1:11" ht="29.5" customHeight="1" x14ac:dyDescent="0.35">
      <c r="C20" s="4"/>
      <c r="D20" s="4"/>
      <c r="E20" s="5"/>
      <c r="F20" s="5"/>
      <c r="H20" s="10"/>
      <c r="I20" s="10"/>
      <c r="J20" s="10"/>
      <c r="K20" s="10"/>
    </row>
    <row r="21" spans="1:11" ht="30" customHeight="1" x14ac:dyDescent="0.35">
      <c r="E21" s="5"/>
      <c r="F21" s="5"/>
      <c r="H21" s="10"/>
      <c r="I21" s="10"/>
      <c r="J21" s="10"/>
      <c r="K21" s="10"/>
    </row>
    <row r="22" spans="1:11" ht="34" customHeight="1" x14ac:dyDescent="0.35">
      <c r="E22" s="5"/>
      <c r="F22" s="5"/>
      <c r="H22" s="10"/>
      <c r="I22" s="10"/>
      <c r="J22" s="10"/>
      <c r="K22" s="10"/>
    </row>
    <row r="23" spans="1:11" x14ac:dyDescent="0.35">
      <c r="E23" s="12"/>
      <c r="F23" s="5"/>
      <c r="H23" s="10"/>
      <c r="I23" s="10"/>
      <c r="J23" s="10"/>
      <c r="K23" s="10"/>
    </row>
    <row r="24" spans="1:11" x14ac:dyDescent="0.35">
      <c r="A24" s="4"/>
      <c r="B24" s="4"/>
      <c r="C24" s="4"/>
      <c r="D24" s="4"/>
      <c r="E24" s="5"/>
      <c r="F24" s="5"/>
      <c r="H24" s="10"/>
      <c r="I24" s="10"/>
      <c r="J24" s="10"/>
      <c r="K24" s="10"/>
    </row>
    <row r="25" spans="1:11" x14ac:dyDescent="0.35">
      <c r="A25" s="4"/>
      <c r="B25" s="4"/>
      <c r="C25" s="4"/>
      <c r="D25" s="4"/>
      <c r="E25" s="5"/>
      <c r="F25" s="5"/>
      <c r="H25" s="10"/>
      <c r="I25" s="10"/>
      <c r="J25" s="10"/>
      <c r="K25" s="10"/>
    </row>
    <row r="26" spans="1:11" x14ac:dyDescent="0.35">
      <c r="C26" s="4"/>
      <c r="D26" s="4"/>
      <c r="E26" s="5"/>
      <c r="F26" s="5"/>
      <c r="H26" s="10"/>
      <c r="I26" s="10"/>
      <c r="J26" s="10"/>
      <c r="K26" s="10"/>
    </row>
    <row r="27" spans="1:11" x14ac:dyDescent="0.35">
      <c r="C27" s="4"/>
      <c r="D27" s="4"/>
      <c r="E27" s="5"/>
      <c r="F27" s="5"/>
      <c r="H27" s="10"/>
      <c r="I27" s="10"/>
      <c r="J27" s="10"/>
      <c r="K27" s="10"/>
    </row>
    <row r="28" spans="1:11" x14ac:dyDescent="0.35">
      <c r="C28" s="4"/>
      <c r="D28" s="4"/>
      <c r="E28" s="5"/>
      <c r="F28" s="5"/>
      <c r="H28" s="10"/>
      <c r="I28" s="10"/>
      <c r="J28" s="10"/>
      <c r="K28" s="10"/>
    </row>
    <row r="29" spans="1:11" x14ac:dyDescent="0.35">
      <c r="C29" s="4"/>
      <c r="D29" s="4"/>
      <c r="E29" s="5"/>
      <c r="F29" s="5"/>
      <c r="H29" s="10"/>
      <c r="I29" s="10"/>
      <c r="J29" s="10"/>
      <c r="K29" s="10"/>
    </row>
    <row r="30" spans="1:11" x14ac:dyDescent="0.35">
      <c r="C30" s="4"/>
      <c r="D30" s="4"/>
      <c r="E30" s="5"/>
      <c r="F30" s="5"/>
      <c r="H30" s="10"/>
      <c r="I30" s="10"/>
      <c r="J30" s="10"/>
      <c r="K30" s="10"/>
    </row>
    <row r="31" spans="1:11" x14ac:dyDescent="0.35">
      <c r="C31" s="4"/>
      <c r="D31" s="4"/>
      <c r="E31" s="5"/>
      <c r="F31" s="5"/>
      <c r="H31" s="10"/>
      <c r="I31" s="10"/>
      <c r="J31" s="10"/>
      <c r="K31" s="10"/>
    </row>
    <row r="33" spans="1:8" x14ac:dyDescent="0.35">
      <c r="C33" s="4"/>
      <c r="D33" s="4"/>
    </row>
    <row r="39" spans="1:8" x14ac:dyDescent="0.35">
      <c r="A39" s="2"/>
      <c r="H39" t="s">
        <v>3</v>
      </c>
    </row>
    <row r="40" spans="1:8" x14ac:dyDescent="0.35">
      <c r="C40" s="4"/>
      <c r="D40" s="4"/>
      <c r="E40" s="4"/>
      <c r="F40" s="4"/>
      <c r="H40" s="4">
        <f>SUM(F40:F59)</f>
        <v>0</v>
      </c>
    </row>
    <row r="41" spans="1:8" x14ac:dyDescent="0.35">
      <c r="C41" s="4"/>
      <c r="D41" s="4"/>
      <c r="E41" s="4"/>
      <c r="F41" s="4"/>
    </row>
    <row r="42" spans="1:8" x14ac:dyDescent="0.35">
      <c r="C42" s="4"/>
      <c r="D42" s="4"/>
      <c r="E42" s="4"/>
      <c r="F42" s="4"/>
    </row>
    <row r="43" spans="1:8" x14ac:dyDescent="0.35">
      <c r="C43" s="4"/>
      <c r="D43" s="4"/>
      <c r="E43" s="4"/>
      <c r="F43" s="4"/>
    </row>
    <row r="44" spans="1:8" x14ac:dyDescent="0.35">
      <c r="C44" s="4"/>
      <c r="D44" s="4"/>
      <c r="E44" s="4"/>
    </row>
    <row r="45" spans="1:8" x14ac:dyDescent="0.35">
      <c r="C45" s="4"/>
      <c r="D45" s="4"/>
      <c r="E45" s="4"/>
    </row>
    <row r="46" spans="1:8" x14ac:dyDescent="0.35">
      <c r="C46" s="4"/>
      <c r="D46" s="4"/>
      <c r="E46" s="4"/>
    </row>
    <row r="47" spans="1:8" x14ac:dyDescent="0.35">
      <c r="C47" s="4"/>
      <c r="D47" s="4"/>
      <c r="E47" s="4"/>
    </row>
    <row r="48" spans="1:8" x14ac:dyDescent="0.35">
      <c r="C48" s="4"/>
      <c r="D48" s="4"/>
      <c r="E48" s="4"/>
    </row>
    <row r="49" spans="3:6" x14ac:dyDescent="0.35">
      <c r="C49" s="4"/>
      <c r="D49" s="4"/>
      <c r="E49" s="4"/>
    </row>
    <row r="50" spans="3:6" x14ac:dyDescent="0.35">
      <c r="C50" s="4"/>
      <c r="D50" s="4"/>
      <c r="E50" s="4"/>
    </row>
    <row r="51" spans="3:6" x14ac:dyDescent="0.35">
      <c r="C51" s="4"/>
      <c r="D51" s="4"/>
      <c r="E51" s="4"/>
    </row>
    <row r="52" spans="3:6" x14ac:dyDescent="0.35">
      <c r="C52" s="4"/>
      <c r="D52" s="4"/>
      <c r="E52" s="4"/>
    </row>
    <row r="53" spans="3:6" x14ac:dyDescent="0.35">
      <c r="C53" s="4"/>
      <c r="D53" s="4"/>
      <c r="E53" s="4"/>
    </row>
    <row r="54" spans="3:6" x14ac:dyDescent="0.35">
      <c r="C54" s="4"/>
      <c r="D54" s="4"/>
      <c r="E54" s="4"/>
    </row>
    <row r="55" spans="3:6" x14ac:dyDescent="0.35">
      <c r="C55" s="4"/>
      <c r="D55" s="4"/>
      <c r="E55" s="4"/>
    </row>
    <row r="56" spans="3:6" x14ac:dyDescent="0.35">
      <c r="C56" s="4"/>
      <c r="D56" s="4"/>
      <c r="E56" s="4"/>
    </row>
    <row r="57" spans="3:6" x14ac:dyDescent="0.35">
      <c r="C57" s="4"/>
      <c r="D57" s="4"/>
      <c r="E57" s="4"/>
    </row>
    <row r="58" spans="3:6" x14ac:dyDescent="0.35">
      <c r="C58" s="4"/>
      <c r="D58" s="4"/>
      <c r="E58" s="4"/>
    </row>
    <row r="59" spans="3:6" x14ac:dyDescent="0.35">
      <c r="C59" s="4"/>
      <c r="D59" s="4"/>
      <c r="E59" s="4"/>
      <c r="F59" s="4"/>
    </row>
    <row r="60" spans="3:6" x14ac:dyDescent="0.35">
      <c r="C60" s="4"/>
      <c r="D60" s="4"/>
      <c r="E60" s="4"/>
    </row>
    <row r="61" spans="3:6" x14ac:dyDescent="0.35">
      <c r="C61" s="4"/>
      <c r="D61" s="4"/>
      <c r="E61" s="4"/>
    </row>
    <row r="62" spans="3:6" x14ac:dyDescent="0.35">
      <c r="C62" s="4"/>
      <c r="D62" s="4"/>
      <c r="E62" s="4"/>
    </row>
  </sheetData>
  <mergeCells count="3">
    <mergeCell ref="X11:AA12"/>
    <mergeCell ref="Z14:AB14"/>
    <mergeCell ref="A1:H1"/>
  </mergeCells>
  <dataValidations count="2">
    <dataValidation type="list" errorStyle="information" allowBlank="1" showDropDown="1" showInputMessage="1" showErrorMessage="1" errorTitle="Please enter a compatible answer" error="Please type only Yes or No to the question for simulation results" sqref="H4">
      <formula1>$AD$3:$AD$4</formula1>
    </dataValidation>
    <dataValidation type="whole" errorStyle="information" allowBlank="1" showInputMessage="1" showErrorMessage="1" errorTitle="Enter a year" error="Please type in the year you were married into the cell. If you expect to be married in the future, please type in the year during which you expect to be married. If you do not know or do not plan to ever be married, type 2100" sqref="D7">
      <formula1>1970</formula1>
      <formula2>2100</formula2>
    </dataValidation>
  </dataValidations>
  <hyperlinks>
    <hyperlink ref="H7" location="'Summary Statistics'!A1" display="Click to Go to Simulation Results "/>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zoomScale="90" zoomScaleNormal="90" workbookViewId="0"/>
  </sheetViews>
  <sheetFormatPr defaultRowHeight="15.5" x14ac:dyDescent="0.35"/>
  <cols>
    <col min="1" max="1" width="19" customWidth="1"/>
    <col min="2" max="2" width="15.58203125" customWidth="1"/>
    <col min="3" max="3" width="13.25" customWidth="1"/>
    <col min="4" max="4" width="17.08203125" customWidth="1"/>
    <col min="5" max="5" width="14.75" customWidth="1"/>
    <col min="6" max="6" width="13.1640625" customWidth="1"/>
    <col min="7" max="7" width="18.83203125" customWidth="1"/>
    <col min="8" max="8" width="19" customWidth="1"/>
    <col min="10" max="10" width="15.58203125" customWidth="1"/>
    <col min="11" max="11" width="15.33203125" customWidth="1"/>
  </cols>
  <sheetData>
    <row r="1" spans="1:13" ht="75" customHeight="1" thickBot="1" x14ac:dyDescent="0.4">
      <c r="A1" s="55"/>
      <c r="B1" s="42" t="s">
        <v>65</v>
      </c>
      <c r="C1" s="43" t="s">
        <v>64</v>
      </c>
      <c r="D1" s="43" t="s">
        <v>63</v>
      </c>
      <c r="E1" s="43" t="s">
        <v>27</v>
      </c>
      <c r="F1" s="43" t="s">
        <v>62</v>
      </c>
      <c r="G1" s="43" t="s">
        <v>29</v>
      </c>
      <c r="H1" s="43" t="s">
        <v>52</v>
      </c>
      <c r="I1" s="6"/>
      <c r="J1" s="17" t="s">
        <v>55</v>
      </c>
      <c r="K1" s="17" t="s">
        <v>56</v>
      </c>
    </row>
    <row r="2" spans="1:13" ht="43.5" customHeight="1" x14ac:dyDescent="0.35">
      <c r="A2" s="52" t="s">
        <v>4</v>
      </c>
      <c r="B2" s="11">
        <f ca="1">SUM(Simulation!U2:U32)</f>
        <v>192050.70592224287</v>
      </c>
      <c r="C2" s="11" t="str">
        <f ca="1">VLOOKUP('Student Loan Inputs'!$AB$12,Simulation!$B$1:$T$32,12,FALSE)</f>
        <v/>
      </c>
      <c r="D2" s="11">
        <f ca="1">IFERROR(IF(C2="",0,C2*($J$2+$K$2)),"")</f>
        <v>0</v>
      </c>
      <c r="E2" s="11">
        <f ca="1">IFERROR(B2+D2,"")</f>
        <v>192050.70592224287</v>
      </c>
      <c r="F2" s="18">
        <f ca="1">IFERROR(INDEX(Simulation!$A$1:$AF$27,MATCH(1,Simulation!$AC$1:$AC$27,0),2),"N/A")</f>
        <v>2022</v>
      </c>
      <c r="G2" s="18">
        <f>'Student Loan Inputs'!$AB$12</f>
        <v>2039</v>
      </c>
      <c r="H2" s="11">
        <f ca="1">Simulation!D2</f>
        <v>1543.4583333333333</v>
      </c>
      <c r="J2" s="44">
        <v>0.434</v>
      </c>
      <c r="K2" s="20">
        <v>0.05</v>
      </c>
    </row>
    <row r="3" spans="1:13" ht="43" customHeight="1" x14ac:dyDescent="0.35">
      <c r="A3" s="53" t="s">
        <v>25</v>
      </c>
      <c r="B3" s="11">
        <f ca="1">SUM(Simulation!V2:V32)</f>
        <v>222494.02697799273</v>
      </c>
      <c r="C3" s="11" t="str">
        <f ca="1">VLOOKUP('Student Loan Inputs'!$AB$12,Simulation!$B$1:$T$32,13,FALSE)</f>
        <v/>
      </c>
      <c r="D3" s="11">
        <f ca="1">IFERROR(IF(C3="",0,C3*($J$2+$K$2)),"")</f>
        <v>0</v>
      </c>
      <c r="E3" s="11">
        <f ca="1">IFERROR(B3+D3,"")</f>
        <v>222494.02697799273</v>
      </c>
      <c r="F3" s="18">
        <f ca="1">INDEX(Simulation!$A$1:$AF$27,MATCH(1,Simulation!$AD$1:$AD$27,0),2)</f>
        <v>2026</v>
      </c>
      <c r="G3" s="18">
        <f>'Student Loan Inputs'!$AB$12</f>
        <v>2039</v>
      </c>
      <c r="H3" s="11">
        <f ca="1">Simulation!E2</f>
        <v>1065.1875</v>
      </c>
      <c r="I3" s="62" t="s">
        <v>81</v>
      </c>
      <c r="J3" s="63"/>
      <c r="K3" s="63"/>
    </row>
    <row r="4" spans="1:13" ht="43" customHeight="1" x14ac:dyDescent="0.35">
      <c r="A4" s="53" t="s">
        <v>36</v>
      </c>
      <c r="B4" s="11">
        <f ca="1">SUM(Simulation!W2:W32)</f>
        <v>266748.20303464902</v>
      </c>
      <c r="C4" s="11" t="str">
        <f ca="1">VLOOKUP('Student Loan Inputs'!$AB$12-5,Simulation!$B$1:$T$32,14,FALSE)</f>
        <v/>
      </c>
      <c r="D4" s="11">
        <f ca="1">IFERROR(IF(C4="",0,C4*($J$2+$K$2)),"")</f>
        <v>0</v>
      </c>
      <c r="E4" s="11">
        <f t="shared" ref="E4:E5" ca="1" si="0">IFERROR(B4+D4,"")</f>
        <v>266748.20303464902</v>
      </c>
      <c r="F4" s="18">
        <f ca="1">IFERROR(INDEX(Simulation!$A$1:$AF$22,MATCH(1,Simulation!$AE$1:$AE$22,0),2),"N/A")</f>
        <v>2031</v>
      </c>
      <c r="G4" s="18">
        <f>G3-5</f>
        <v>2034</v>
      </c>
      <c r="H4" s="11">
        <f ca="1">Simulation!F2</f>
        <v>710.125</v>
      </c>
      <c r="I4" s="62"/>
      <c r="J4" s="63"/>
      <c r="K4" s="63"/>
      <c r="L4" s="46"/>
      <c r="M4" s="46"/>
    </row>
    <row r="5" spans="1:13" ht="43.5" customHeight="1" x14ac:dyDescent="0.35">
      <c r="A5" s="53" t="s">
        <v>26</v>
      </c>
      <c r="B5" s="11">
        <f ca="1">SUM(Simulation!X2:X32)</f>
        <v>182221.8946324992</v>
      </c>
      <c r="C5" s="11" t="str">
        <f ca="1">VLOOKUP('Student Loan Inputs'!$AB$12,Simulation!$B$1:$T$32,15,FALSE)</f>
        <v/>
      </c>
      <c r="D5" s="11">
        <f ca="1">IFERROR(IF(C5="",0,C5*($J$2+$K$2)),"")</f>
        <v>0</v>
      </c>
      <c r="E5" s="11">
        <f t="shared" ca="1" si="0"/>
        <v>182221.8946324992</v>
      </c>
      <c r="F5" s="18">
        <f ca="1">INDEX(Simulation!$A$1:$AF$27,MATCH(1,Simulation!$AF$1:$AF$27,0),2)</f>
        <v>2021</v>
      </c>
      <c r="G5" s="18" t="s">
        <v>30</v>
      </c>
      <c r="H5" s="11">
        <f ca="1">Simulation!G2</f>
        <v>3000</v>
      </c>
      <c r="I5" s="48"/>
      <c r="J5" s="64" t="s">
        <v>82</v>
      </c>
      <c r="K5" s="64"/>
      <c r="L5" s="46"/>
      <c r="M5" s="46"/>
    </row>
    <row r="6" spans="1:13" ht="44.5" customHeight="1" x14ac:dyDescent="0.35">
      <c r="A6" s="54" t="s">
        <v>44</v>
      </c>
      <c r="B6" s="11">
        <f ca="1">IF('Student Loan Inputs'!H4="Yes",IF('Student Loan Inputs'!$G$4&gt;=2012,MIN(SUM(Simulation!$Y2:$Y32),SUM(Simulation!$Z2:$Z32),SUM(Simulation!$AA2:$AA32)),MIN(SUM(Simulation!$Y2:$Y32),SUM(Simulation!$Z2:$Z32))),"N/A")</f>
        <v>108976.70579640326</v>
      </c>
      <c r="C6" s="11" t="str">
        <f ca="1">IF('Student Loan Inputs'!H4="Yes",VLOOKUP('Student Loan Inputs'!$AF$12,Simulation!$B$1:$AB$32,IF('Student Loan Inputs'!$G$4&gt;=2014,12,13),FALSE),"N/A")</f>
        <v/>
      </c>
      <c r="D6" s="11">
        <f ca="1">IF(B6="N/A","N/A",0)</f>
        <v>0</v>
      </c>
      <c r="E6" s="11">
        <f ca="1">B6</f>
        <v>108976.70579640326</v>
      </c>
      <c r="F6" s="18">
        <f ca="1">IFERROR(INDEX(Simulation!$A$1:$AF$22,MATCH(1,Simulation!$AE$1:$AE$22,0),2),"N/A")</f>
        <v>2031</v>
      </c>
      <c r="G6" s="18">
        <f ca="1">IF(B6="N/A","N/A",'Student Loan Inputs'!AF12)</f>
        <v>2024</v>
      </c>
      <c r="H6" s="11">
        <f ca="1">IF('Student Loan Inputs'!H4="Yes",IF('Student Loan Inputs'!G4&gt;=2014,'Summary Statistics'!H2,'Summary Statistics'!H3),"N/A")</f>
        <v>1543.4583333333333</v>
      </c>
      <c r="I6" s="48"/>
      <c r="J6" s="64"/>
      <c r="K6" s="64"/>
      <c r="L6" s="46"/>
      <c r="M6" s="46"/>
    </row>
    <row r="7" spans="1:13" ht="48.5" customHeight="1" x14ac:dyDescent="0.35">
      <c r="A7" s="47" t="s">
        <v>67</v>
      </c>
      <c r="B7" s="11">
        <f>H7*5*12</f>
        <v>161718.21597657099</v>
      </c>
      <c r="C7" s="49" t="s">
        <v>53</v>
      </c>
      <c r="D7" s="18">
        <f ca="1">IFERROR(INDEX(Simulation!$A$1:$AF$22,MATCH(1,Simulation!$AE$1:$AE$22,0),2),"N/A")</f>
        <v>2031</v>
      </c>
      <c r="E7" s="11">
        <f>H7*5*12</f>
        <v>161718.21597657099</v>
      </c>
      <c r="F7" s="18">
        <f ca="1">YEAR(TODAY())+5</f>
        <v>2021</v>
      </c>
      <c r="G7" s="18" t="s">
        <v>30</v>
      </c>
      <c r="H7" s="11">
        <f>'Student Loan Inputs'!$A$4*(((0.0025)*(1.0025^60))/((1.0025^60)-1))</f>
        <v>2695.3035996095164</v>
      </c>
      <c r="I7" s="65" t="s">
        <v>80</v>
      </c>
      <c r="J7" s="65"/>
      <c r="K7" s="65"/>
    </row>
    <row r="8" spans="1:13" x14ac:dyDescent="0.35">
      <c r="A8" s="50" t="s">
        <v>68</v>
      </c>
      <c r="I8" s="65"/>
      <c r="J8" s="65"/>
      <c r="K8" s="65"/>
    </row>
    <row r="10" spans="1:13" ht="23.5" customHeight="1" x14ac:dyDescent="0.35"/>
    <row r="11" spans="1:13" x14ac:dyDescent="0.35">
      <c r="B11" s="4"/>
    </row>
    <row r="12" spans="1:13" x14ac:dyDescent="0.35">
      <c r="B12" s="4"/>
    </row>
    <row r="13" spans="1:13" x14ac:dyDescent="0.35">
      <c r="B13" s="4"/>
    </row>
    <row r="15" spans="1:13" ht="24.5" customHeight="1" x14ac:dyDescent="0.35"/>
  </sheetData>
  <mergeCells count="3">
    <mergeCell ref="I3:K4"/>
    <mergeCell ref="J5:K6"/>
    <mergeCell ref="I7:K8"/>
  </mergeCells>
  <conditionalFormatting sqref="E2:E7">
    <cfRule type="top10" dxfId="1" priority="1" rank="1"/>
    <cfRule type="top10" dxfId="0" priority="2" bottom="1" rank="1"/>
  </conditionalFormatting>
  <hyperlinks>
    <hyperlink ref="A2" r:id="rId1"/>
    <hyperlink ref="A3" r:id="rId2"/>
    <hyperlink ref="A4" r:id="rId3"/>
    <hyperlink ref="A5" r:id="rId4"/>
    <hyperlink ref="A6" r:id="rId5"/>
    <hyperlink ref="J5:K6" r:id="rId6" display="https://www.sofi.com/millennialmoola"/>
  </hyperlinks>
  <pageMargins left="0.7" right="0.7" top="0.75" bottom="0.75" header="0.3" footer="0.3"/>
  <pageSetup orientation="portrait" r:id="rId7"/>
  <ignoredErrors>
    <ignoredError sqref="F5" formula="1"/>
  </ignoredErrors>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
  <sheetViews>
    <sheetView zoomScale="80" zoomScaleNormal="80" workbookViewId="0"/>
  </sheetViews>
  <sheetFormatPr defaultRowHeight="15.5" x14ac:dyDescent="0.35"/>
  <cols>
    <col min="2" max="2" width="10.4140625" customWidth="1"/>
    <col min="3" max="3" width="7.4140625" customWidth="1"/>
    <col min="4" max="4" width="10.6640625" customWidth="1"/>
    <col min="5" max="5" width="11.58203125" customWidth="1"/>
    <col min="6" max="6" width="11.33203125" customWidth="1"/>
    <col min="7" max="7" width="11.25" customWidth="1"/>
    <col min="8" max="8" width="14.5" bestFit="1" customWidth="1"/>
    <col min="9" max="9" width="12" customWidth="1"/>
    <col min="10" max="10" width="12.83203125" customWidth="1"/>
    <col min="11" max="11" width="11.83203125" customWidth="1"/>
    <col min="12" max="12" width="12.9140625" bestFit="1" customWidth="1"/>
    <col min="13" max="13" width="12.75" customWidth="1"/>
    <col min="14" max="14" width="13.08203125" customWidth="1"/>
    <col min="15" max="15" width="13.6640625" customWidth="1"/>
    <col min="16" max="16" width="13.08203125" customWidth="1"/>
    <col min="17" max="17" width="11.4140625" customWidth="1"/>
    <col min="18" max="19" width="10.83203125" customWidth="1"/>
    <col min="20" max="20" width="10.33203125" bestFit="1" customWidth="1"/>
    <col min="21" max="21" width="10.75" bestFit="1" customWidth="1"/>
    <col min="22" max="23" width="10.33203125" bestFit="1" customWidth="1"/>
    <col min="24" max="24" width="10.75" bestFit="1" customWidth="1"/>
    <col min="25" max="25" width="13.25" bestFit="1" customWidth="1"/>
    <col min="26" max="26" width="12.83203125" bestFit="1" customWidth="1"/>
    <col min="27" max="27" width="12.25" bestFit="1" customWidth="1"/>
    <col min="28" max="28" width="11.33203125" bestFit="1" customWidth="1"/>
    <col min="32" max="32" width="9.75" bestFit="1" customWidth="1"/>
    <col min="33" max="33" width="13.5" bestFit="1" customWidth="1"/>
    <col min="36" max="36" width="9.75" bestFit="1" customWidth="1"/>
    <col min="39" max="39" width="11.9140625" bestFit="1" customWidth="1"/>
    <col min="42" max="42" width="11.9140625" bestFit="1" customWidth="1"/>
  </cols>
  <sheetData>
    <row r="1" spans="1:42" ht="77.5" x14ac:dyDescent="0.35">
      <c r="A1" s="8" t="s">
        <v>2</v>
      </c>
      <c r="B1" s="8" t="s">
        <v>0</v>
      </c>
      <c r="C1" s="8" t="s">
        <v>1</v>
      </c>
      <c r="D1" s="8" t="s">
        <v>15</v>
      </c>
      <c r="E1" s="8" t="s">
        <v>23</v>
      </c>
      <c r="F1" s="8" t="s">
        <v>16</v>
      </c>
      <c r="G1" s="8" t="s">
        <v>17</v>
      </c>
      <c r="H1" s="8" t="s">
        <v>8</v>
      </c>
      <c r="I1" s="8" t="s">
        <v>18</v>
      </c>
      <c r="J1" s="8" t="s">
        <v>21</v>
      </c>
      <c r="K1" s="8" t="s">
        <v>19</v>
      </c>
      <c r="L1" s="8" t="s">
        <v>20</v>
      </c>
      <c r="M1" s="8" t="s">
        <v>9</v>
      </c>
      <c r="N1" s="8" t="s">
        <v>37</v>
      </c>
      <c r="O1" s="8" t="s">
        <v>10</v>
      </c>
      <c r="P1" s="8" t="s">
        <v>22</v>
      </c>
      <c r="Q1" s="8" t="s">
        <v>11</v>
      </c>
      <c r="R1" s="8" t="s">
        <v>12</v>
      </c>
      <c r="S1" s="8" t="s">
        <v>13</v>
      </c>
      <c r="T1" s="8" t="s">
        <v>14</v>
      </c>
      <c r="U1" s="8" t="s">
        <v>32</v>
      </c>
      <c r="V1" s="8" t="s">
        <v>33</v>
      </c>
      <c r="W1" s="8" t="s">
        <v>34</v>
      </c>
      <c r="X1" s="8" t="s">
        <v>35</v>
      </c>
      <c r="Y1" s="8" t="s">
        <v>46</v>
      </c>
      <c r="Z1" s="8" t="s">
        <v>83</v>
      </c>
      <c r="AA1" s="8" t="s">
        <v>84</v>
      </c>
      <c r="AB1" s="8" t="s">
        <v>47</v>
      </c>
      <c r="AC1" s="8" t="s">
        <v>48</v>
      </c>
      <c r="AD1" s="8" t="s">
        <v>49</v>
      </c>
      <c r="AE1" s="8" t="s">
        <v>50</v>
      </c>
      <c r="AF1" s="8" t="s">
        <v>51</v>
      </c>
    </row>
    <row r="2" spans="1:42" x14ac:dyDescent="0.35">
      <c r="A2" s="13">
        <v>0</v>
      </c>
      <c r="B2" s="13">
        <f ca="1">IFERROR(IF(YEAR(TODAY())&gt;'Student Loan Inputs'!$AB$12,"",YEAR(TODAY())),"")</f>
        <v>2016</v>
      </c>
      <c r="C2" s="13" t="str">
        <f ca="1">IF($B2="","",IF(B2&gt;='Student Loan Inputs'!$D$7,"Yes","No"))</f>
        <v>Yes</v>
      </c>
      <c r="D2" s="12">
        <f ca="1">IF($B2="","",IF(M2=0,0,H2*0.1/12))</f>
        <v>1543.4583333333333</v>
      </c>
      <c r="E2" s="12">
        <f ca="1">IFERROR(IF(G2&gt;=I2*0.15/12,IF($B2="","",IF(N2=0,0,I2*0.15/12)),G2),"")</f>
        <v>1065.1875</v>
      </c>
      <c r="F2" s="12">
        <f ca="1">IFERROR(IF($B2+5&gt;'Student Loan Inputs'!$AB$12,"",IF(G2&gt;J2*0.1/12,IF(O2=0,0,J2*0.1/12),G2)),"")</f>
        <v>710.125</v>
      </c>
      <c r="G2" s="12">
        <f ca="1">IF($B2="","",IF(P2=0,0,'Student Loan Inputs'!$A$7))</f>
        <v>3000</v>
      </c>
      <c r="H2" s="3">
        <f ca="1">IF($B2="","",$L2-'Student Loan Inputs'!$AC$12*1.5)</f>
        <v>185215</v>
      </c>
      <c r="I2" s="3">
        <f ca="1">IF($B2="","",$K2-'Student Loan Inputs'!$AC$12*1.5)</f>
        <v>85215</v>
      </c>
      <c r="J2" s="3">
        <f ca="1">IFERROR(IF($B2+5&gt;'Student Loan Inputs'!$AB$12,"",$K2-'Student Loan Inputs'!$AC$12*1.5),"")</f>
        <v>85215</v>
      </c>
      <c r="K2" s="3">
        <f>'Student Loan Inputs'!$C$4</f>
        <v>120000</v>
      </c>
      <c r="L2" s="12">
        <f ca="1">IF($B2="","",IF($C2="No",$K2,$K2+'Student Loan Inputs'!$E$7))</f>
        <v>220000</v>
      </c>
      <c r="M2" s="12">
        <f>'Student Loan Inputs'!$A$4</f>
        <v>150000</v>
      </c>
      <c r="N2" s="12">
        <f>'Student Loan Inputs'!$A$4</f>
        <v>150000</v>
      </c>
      <c r="O2" s="12">
        <f>'Student Loan Inputs'!$A$4</f>
        <v>150000</v>
      </c>
      <c r="P2" s="12">
        <f>'Student Loan Inputs'!$A$4</f>
        <v>150000</v>
      </c>
      <c r="Q2" s="12">
        <f ca="1">IFERROR(IF($B2="","",IF(($M2*'Student Loan Inputs'!$B$4-$D2*12)&lt;0,0,($M2*'Student Loan Inputs'!$B$4-$D2*12)/2)),"")</f>
        <v>0</v>
      </c>
      <c r="R2" s="12">
        <f ca="1">IFERROR(IF($B2="","",IF(($N2*'Student Loan Inputs'!$B$4-$E2*12)&lt;0,0,$N2*'Student Loan Inputs'!$B$4-$E2*12)),"")</f>
        <v>0</v>
      </c>
      <c r="S2" s="12">
        <f ca="1">IFERROR(IF($B2+5&gt;'Student Loan Inputs'!$AB$12,"",IF(($O2*'Student Loan Inputs'!$B$4-$F2*12)&lt;0,0,$O2*'Student Loan Inputs'!$B$4-$F2*12)),"")</f>
        <v>1678.5</v>
      </c>
      <c r="T2" s="12">
        <f ca="1">IFERROR(IF($B2="","",IF(($P2*'Student Loan Inputs'!$B$4-$G2*12)&lt;0,0,$P2*'Student Loan Inputs'!$B$4-$G2*12)),"")</f>
        <v>0</v>
      </c>
      <c r="U2" s="4">
        <f ca="1">IFERROR(IF(M3="",IF(M2&gt;D2*12,0,M2),D2*12),"")</f>
        <v>18521.5</v>
      </c>
      <c r="V2" s="4">
        <f ca="1">IFERROR(IF(N3="",IF(N2&gt;E2*12,0,N2),E2*12),"")</f>
        <v>12782.25</v>
      </c>
      <c r="W2" s="4">
        <f ca="1">IFERROR(IF(O3="",IF(O2&gt;F2*12,0,O2),F2*12),"")</f>
        <v>8521.5</v>
      </c>
      <c r="X2" s="4">
        <f ca="1">IFERROR(IF(P3="",IF(P2&gt;G2*12,0,P2),G2*12),"")</f>
        <v>36000</v>
      </c>
      <c r="Y2" s="4">
        <f ca="1">MIN(IF($B2&lt;'Student Loan Inputs'!$AF$12,Simulation!U2,0),IF(OR($X2=0,U2&gt;X2),U2,$X2))</f>
        <v>18521.5</v>
      </c>
      <c r="Z2" s="4">
        <f ca="1">MIN(IF($B2&lt;'Student Loan Inputs'!$AF$12,Simulation!V2,0),IF(OR($X2=0,V2&gt;X2),V2,$X2))</f>
        <v>12782.25</v>
      </c>
      <c r="AA2" s="4">
        <f ca="1">MIN(IF($B2&lt;'Student Loan Inputs'!$AF$12,Simulation!W2,0),IF(OR($X2=0,W2&gt;X2),W2,$X2))</f>
        <v>8521.5</v>
      </c>
      <c r="AB2" s="4">
        <f ca="1">IF($B2&lt;'Student Loan Inputs'!$AF$12,Simulation!X2,0)</f>
        <v>36000</v>
      </c>
      <c r="AC2" s="29">
        <f ca="1">IF(U2=M2,1,0)</f>
        <v>0</v>
      </c>
      <c r="AD2" s="29">
        <f t="shared" ref="AD2:AF17" ca="1" si="0">IF(V2=N2,1,0)</f>
        <v>0</v>
      </c>
      <c r="AE2" s="29">
        <f t="shared" ca="1" si="0"/>
        <v>0</v>
      </c>
      <c r="AF2" s="29">
        <f t="shared" ca="1" si="0"/>
        <v>0</v>
      </c>
    </row>
    <row r="3" spans="1:42" x14ac:dyDescent="0.35">
      <c r="A3" s="13">
        <v>1</v>
      </c>
      <c r="B3" s="13">
        <f ca="1">IF(($B$2+$A3)&gt;'Student Loan Inputs'!$AB$12,"",($B$2+$A3))</f>
        <v>2017</v>
      </c>
      <c r="C3" s="13" t="str">
        <f ca="1">IF($B3="","",IF(B3&gt;='Student Loan Inputs'!$D$7,"Yes","No"))</f>
        <v>Yes</v>
      </c>
      <c r="D3" s="12">
        <f t="shared" ref="D3:D32" ca="1" si="1">IF($B3="","",IF(M3=0,0,H3*0.1/12))</f>
        <v>2484.3580099149572</v>
      </c>
      <c r="E3" s="12">
        <f t="shared" ref="E3:E32" ca="1" si="2">IFERROR(IF(G3&gt;=I3*0.15/12,IF($B3="","",IF(N3=0,0,I3*0.15/12)),G3),"")</f>
        <v>1226.5370148724348</v>
      </c>
      <c r="F3" s="12">
        <f ca="1">IFERROR(IF($B3+5&gt;'Student Loan Inputs'!$AB$12,"",IF(G3&gt;J3*0.1/12,IF(O3=0,0,J3*0.1/12),G3)),"")</f>
        <v>817.69134324828985</v>
      </c>
      <c r="G3" s="12">
        <f ca="1">IF($B3="","",IF(P3=0,0,'Student Loan Inputs'!$A$7))</f>
        <v>3000</v>
      </c>
      <c r="H3" s="3">
        <f ca="1">IF($B3="","",$L3-'Student Loan Inputs'!$AC$12*1.5)</f>
        <v>298122.96118979482</v>
      </c>
      <c r="I3" s="3">
        <f ca="1">IF($B3="","",$K3-'Student Loan Inputs'!$AC$12*1.5)</f>
        <v>98122.961189794791</v>
      </c>
      <c r="J3" s="3">
        <f ca="1">IFERROR(IF($B3+5&gt;'Student Loan Inputs'!$AB$12,"",$K3-'Student Loan Inputs'!$AC$12*1.5),"")</f>
        <v>98122.961189794791</v>
      </c>
      <c r="K3" s="3">
        <f ca="1">IF($B3="","",IF($A3&lt;='Student Loan Inputs'!$E$4,'Student Loan Inputs'!$C$4*((1+'Student Loan Inputs'!$AE$12)^$A3),Simulation!$K2*((1+'Student Loan Inputs'!$F$4))))</f>
        <v>132907.96118979479</v>
      </c>
      <c r="L3" s="12">
        <f ca="1">IF($B3="","",IF($C3="No",$K3,$K3+'Student Loan Inputs'!$E$7)+IF($C2="Yes",IF($B3&lt;=('Student Loan Inputs'!$D$7+'Student Loan Inputs'!$G$7),('Student Loan Inputs'!$E$7*(1+'Student Loan Inputs'!$AD$12)^($B3-'Student Loan Inputs'!$D$7))-'Student Loan Inputs'!$E$7,((1+'Student Loan Inputs'!$F$4)^(Simulation!$B3-('Student Loan Inputs'!$D$7+'Student Loan Inputs'!$G$7)))*('Student Loan Inputs'!$E$7*((1+'Student Loan Inputs'!$AD$12)^'Student Loan Inputs'!$G$7))-'Student Loan Inputs'!$E$7),0))</f>
        <v>332907.96118979482</v>
      </c>
      <c r="M3" s="12">
        <f ca="1">IFERROR(IF($B3="","",IF($M2*'Student Loan Inputs'!$B$4&gt;=Simulation!$D2*12,$M2+$Q2,IF($M2*(1+'Student Loan Inputs'!$B$4)-$D2*12&gt;0,$M2*(1+'Student Loan Inputs'!$B$4)-$D2*12,""))),"")</f>
        <v>141678.5</v>
      </c>
      <c r="N3" s="12">
        <f ca="1">IFERROR(IF($B3="","",IF($N2*(1+'Student Loan Inputs'!$B$4)-($E2*12)&gt;0,$N2*(1+'Student Loan Inputs'!$B$4)-($E2*12),"")),"")</f>
        <v>147417.75</v>
      </c>
      <c r="O3" s="12">
        <f ca="1">IFERROR(IF($B3+5&gt;'Student Loan Inputs'!$AB$12,"",IF($O2*(1+'Student Loan Inputs'!$B$4)-($F2*12)&gt;0,$O2*(1+'Student Loan Inputs'!$B$4)-($F2*12),"")),"")</f>
        <v>151678.5</v>
      </c>
      <c r="P3" s="12">
        <f ca="1">IFERROR(IF($B3="","",IF(($P2*(1+'Student Loan Inputs'!$B$4)-$G2*12)&lt;0,"",IF($P2*(1+'Student Loan Inputs'!$B$4)-$G2*12&gt;0,$P2*(1+'Student Loan Inputs'!$B$4)-$G2*12,""))),"")</f>
        <v>124200</v>
      </c>
      <c r="Q3" s="12">
        <f ca="1">IFERROR(IF($B3="","",IF(($M3*'Student Loan Inputs'!$B$4-$D3*12)&lt;0,0,($M3*'Student Loan Inputs'!$B$4-$D3*12)/2)),"")</f>
        <v>0</v>
      </c>
      <c r="R3" s="12">
        <f ca="1">IFERROR(IF($B3="","",IF(($N3*'Student Loan Inputs'!$B$4-$E3*12)&lt;0,0,$N3*'Student Loan Inputs'!$B$4-$E3*12)),"")</f>
        <v>0</v>
      </c>
      <c r="S3" s="12">
        <f ca="1">IFERROR(IF($B3+5&gt;'Student Loan Inputs'!$AB$12,"",IF(($O3*'Student Loan Inputs'!$B$4-$F3*12)&lt;0,0,$O3*'Student Loan Inputs'!$B$4-$F3*12)),"")</f>
        <v>501.84188102052212</v>
      </c>
      <c r="T3" s="12">
        <f ca="1">IFERROR(IF($B3="","",IF(($P3*'Student Loan Inputs'!$B$4-$G3*12)&lt;0,0,$P3*'Student Loan Inputs'!$B$4-$G3*12)),"")</f>
        <v>0</v>
      </c>
      <c r="U3" s="4">
        <f ca="1">IFERROR(IF(M4="",IF(M3&gt;D3*12,0,M3),D3*12),"")</f>
        <v>29812.296118979488</v>
      </c>
      <c r="V3" s="4">
        <f t="shared" ref="V3:V32" ca="1" si="3">IFERROR(IF(N4="",IF(N3&gt;E3*12,0,N3),E3*12),"")</f>
        <v>14718.444178469217</v>
      </c>
      <c r="W3" s="4">
        <f t="shared" ref="W3:W32" ca="1" si="4">IFERROR(IF(O4="",IF(O3&gt;F3*12,0,O3),F3*12),"")</f>
        <v>9812.2961189794787</v>
      </c>
      <c r="X3" s="4">
        <f t="shared" ref="X3:X32" ca="1" si="5">IFERROR(IF(P4="",IF(P3&gt;G3*12,0,P3),G3*12),"")</f>
        <v>36000</v>
      </c>
      <c r="Y3" s="4">
        <f ca="1">MIN(IF($B3&lt;'Student Loan Inputs'!$AF$12,Simulation!U3,0),IF(OR($X3=0,U3&gt;X3),U3,$X3))</f>
        <v>29812.296118979488</v>
      </c>
      <c r="Z3" s="4">
        <f ca="1">MIN(IF($B3&lt;'Student Loan Inputs'!$AF$12,Simulation!V3,0),IF(OR($X3=0,V3&gt;X3),V3,$X3))</f>
        <v>14718.444178469217</v>
      </c>
      <c r="AA3" s="4">
        <f ca="1">MIN(IF($B3&lt;'Student Loan Inputs'!$AF$12,Simulation!W3,0),IF(OR($X3=0,W3&gt;X3),W3,$X3))</f>
        <v>9812.2961189794787</v>
      </c>
      <c r="AB3" s="4">
        <f ca="1">IF($B3&lt;'Student Loan Inputs'!$AF$12,Simulation!X3,0)</f>
        <v>36000</v>
      </c>
      <c r="AC3" s="29">
        <f t="shared" ref="AC3:AC27" ca="1" si="6">IF(U3=M3,1,0)</f>
        <v>0</v>
      </c>
      <c r="AD3" s="29">
        <f t="shared" ca="1" si="0"/>
        <v>0</v>
      </c>
      <c r="AE3" s="29">
        <f t="shared" ca="1" si="0"/>
        <v>0</v>
      </c>
      <c r="AF3" s="29">
        <f t="shared" ca="1" si="0"/>
        <v>0</v>
      </c>
    </row>
    <row r="4" spans="1:42" x14ac:dyDescent="0.35">
      <c r="A4" s="13">
        <v>2</v>
      </c>
      <c r="B4" s="13">
        <f ca="1">IF(($B$2+$A4)&gt;'Student Loan Inputs'!$AB$12,"",($B$2+$A4))</f>
        <v>2018</v>
      </c>
      <c r="C4" s="13" t="str">
        <f ca="1">IF($B4="","",IF(B4&gt;='Student Loan Inputs'!$D$7,"Yes","No"))</f>
        <v>Yes</v>
      </c>
      <c r="D4" s="12">
        <f t="shared" ca="1" si="1"/>
        <v>2670.1615380297221</v>
      </c>
      <c r="E4" s="12">
        <f t="shared" ca="1" si="2"/>
        <v>1405.2423070445827</v>
      </c>
      <c r="F4" s="12">
        <f ca="1">IFERROR(IF($B4+5&gt;'Student Loan Inputs'!$AB$12,"",IF(G4&gt;J4*0.1/12,IF(O4=0,0,J4*0.1/12),G4)),"")</f>
        <v>936.82820469638864</v>
      </c>
      <c r="G4" s="12">
        <f ca="1">IF($B4="","",IF(P4=0,0,'Student Loan Inputs'!$A$7))</f>
        <v>3000</v>
      </c>
      <c r="H4" s="3">
        <f ca="1">IF($B4="","",$L4-'Student Loan Inputs'!$AC$12*1.5)</f>
        <v>320419.38456356665</v>
      </c>
      <c r="I4" s="3">
        <f ca="1">IF($B4="","",$K4-'Student Loan Inputs'!$AC$12*1.5)</f>
        <v>112419.38456356662</v>
      </c>
      <c r="J4" s="3">
        <f ca="1">IFERROR(IF($B4+5&gt;'Student Loan Inputs'!$AB$12,"",$K4-'Student Loan Inputs'!$AC$12*1.5),"")</f>
        <v>112419.38456356662</v>
      </c>
      <c r="K4" s="3">
        <f ca="1">IF($B4="","",IF($A4&lt;='Student Loan Inputs'!$E$4,'Student Loan Inputs'!$C$4*((1+'Student Loan Inputs'!$AE$12)^$A4),Simulation!$K3*((1+'Student Loan Inputs'!$F$4))))</f>
        <v>147204.38456356662</v>
      </c>
      <c r="L4" s="12">
        <f ca="1">IF($B4="","",IF($C4="No",$K4,$K4+'Student Loan Inputs'!$E$7)+IF($C3="Yes",IF($B4&lt;=('Student Loan Inputs'!$D$7+'Student Loan Inputs'!$G$7),('Student Loan Inputs'!$E$7*(1+'Student Loan Inputs'!$AD$12)^($B4-'Student Loan Inputs'!$D$7))-'Student Loan Inputs'!$E$7,((1+'Student Loan Inputs'!$F$4)^(Simulation!$B4-('Student Loan Inputs'!$D$7+'Student Loan Inputs'!$G$7)))*('Student Loan Inputs'!$E$7*((1+'Student Loan Inputs'!$AD$12)^'Student Loan Inputs'!$G$7))-'Student Loan Inputs'!$E$7),0))</f>
        <v>355204.38456356665</v>
      </c>
      <c r="M4" s="12">
        <f ca="1">IFERROR(IF($B4="","",IF($M3*'Student Loan Inputs'!$B$4&gt;=Simulation!$D3*12,$M3+$Q3,IF($M3*(1+'Student Loan Inputs'!$B$4)-$D3*12&gt;0,$M3*(1+'Student Loan Inputs'!$B$4)-$D3*12,""))),"")</f>
        <v>121500.34188102052</v>
      </c>
      <c r="N4" s="12">
        <f ca="1">IFERROR(IF($B4="","",IF($N3*(1+'Student Loan Inputs'!$B$4)-($E3*12)&gt;0,$N3*(1+'Student Loan Inputs'!$B$4)-($E3*12),"")),"")</f>
        <v>142723.71282153079</v>
      </c>
      <c r="O4" s="12">
        <f ca="1">IFERROR(IF($B4+5&gt;'Student Loan Inputs'!$AB$12,"",IF($O3*(1+'Student Loan Inputs'!$B$4)-($F3*12)&gt;0,$O3*(1+'Student Loan Inputs'!$B$4)-($F3*12),"")),"")</f>
        <v>152180.34188102052</v>
      </c>
      <c r="P4" s="12">
        <f ca="1">IFERROR(IF($B4="","",IF(($P3*(1+'Student Loan Inputs'!$B$4)-$G3*12)&lt;0,"",IF($P3*(1+'Student Loan Inputs'!$B$4)-$G3*12&gt;0,$P3*(1+'Student Loan Inputs'!$B$4)-$G3*12,""))),"")</f>
        <v>96645.6</v>
      </c>
      <c r="Q4" s="12">
        <f ca="1">IFERROR(IF($B4="","",IF(($M4*'Student Loan Inputs'!$B$4-$D4*12)&lt;0,0,($M4*'Student Loan Inputs'!$B$4-$D4*12)/2)),"")</f>
        <v>0</v>
      </c>
      <c r="R4" s="12">
        <f ca="1">IFERROR(IF($B4="","",IF(($N4*'Student Loan Inputs'!$B$4-$E4*12)&lt;0,0,$N4*'Student Loan Inputs'!$B$4-$E4*12)),"")</f>
        <v>0</v>
      </c>
      <c r="S4" s="12">
        <f ca="1">IFERROR(IF($B4+5&gt;'Student Loan Inputs'!$AB$12,"",IF(($O4*'Student Loan Inputs'!$B$4-$F4*12)&lt;0,0,$O4*'Student Loan Inputs'!$B$4-$F4*12)),"")</f>
        <v>0</v>
      </c>
      <c r="T4" s="12">
        <f ca="1">IFERROR(IF($B4="","",IF(($P4*'Student Loan Inputs'!$B$4-$G4*12)&lt;0,0,$P4*'Student Loan Inputs'!$B$4-$G4*12)),"")</f>
        <v>0</v>
      </c>
      <c r="U4" s="4">
        <f ca="1">IFERROR(IF(M5="",IF(M4&gt;D4*12,0,M4),D4*12),"")</f>
        <v>32041.938456356664</v>
      </c>
      <c r="V4" s="4">
        <f t="shared" ca="1" si="3"/>
        <v>16862.907684534992</v>
      </c>
      <c r="W4" s="4">
        <f t="shared" ca="1" si="4"/>
        <v>11241.938456356664</v>
      </c>
      <c r="X4" s="4">
        <f t="shared" ca="1" si="5"/>
        <v>36000</v>
      </c>
      <c r="Y4" s="4">
        <f ca="1">MIN(IF($B4&lt;'Student Loan Inputs'!$AF$12,Simulation!U4,0),IF(OR($X4=0,U4&gt;X4),U4,$X4))</f>
        <v>32041.938456356664</v>
      </c>
      <c r="Z4" s="4">
        <f ca="1">MIN(IF($B4&lt;'Student Loan Inputs'!$AF$12,Simulation!V4,0),IF(OR($X4=0,V4&gt;X4),V4,$X4))</f>
        <v>16862.907684534992</v>
      </c>
      <c r="AA4" s="4">
        <f ca="1">MIN(IF($B4&lt;'Student Loan Inputs'!$AF$12,Simulation!W4,0),IF(OR($X4=0,W4&gt;X4),W4,$X4))</f>
        <v>11241.938456356664</v>
      </c>
      <c r="AB4" s="4">
        <f ca="1">IF($B4&lt;'Student Loan Inputs'!$AF$12,Simulation!X4,0)</f>
        <v>36000</v>
      </c>
      <c r="AC4" s="29">
        <f t="shared" ca="1" si="6"/>
        <v>0</v>
      </c>
      <c r="AD4" s="29">
        <f t="shared" ca="1" si="0"/>
        <v>0</v>
      </c>
      <c r="AE4" s="29">
        <f t="shared" ca="1" si="0"/>
        <v>0</v>
      </c>
      <c r="AF4" s="29">
        <f t="shared" ca="1" si="0"/>
        <v>0</v>
      </c>
    </row>
    <row r="5" spans="1:42" x14ac:dyDescent="0.35">
      <c r="A5" s="13">
        <v>3</v>
      </c>
      <c r="B5" s="13">
        <f ca="1">IF(($B$2+$A5)&gt;'Student Loan Inputs'!$AB$12,"",($B$2+$A5))</f>
        <v>2019</v>
      </c>
      <c r="C5" s="13" t="str">
        <f ca="1">IF($B5="","",IF(B5&gt;='Student Loan Inputs'!$D$7,"Yes","No"))</f>
        <v>Yes</v>
      </c>
      <c r="D5" s="12">
        <f t="shared" ca="1" si="1"/>
        <v>2871.446849343205</v>
      </c>
      <c r="E5" s="12">
        <f t="shared" ca="1" si="2"/>
        <v>1603.1702740148064</v>
      </c>
      <c r="F5" s="12">
        <f ca="1">IFERROR(IF($B5+5&gt;'Student Loan Inputs'!$AB$12,"",IF(G5&gt;J5*0.1/12,IF(O5=0,0,J5*0.1/12),G5)),"")</f>
        <v>1068.7801826765376</v>
      </c>
      <c r="G5" s="12">
        <f ca="1">IF($B5="","",IF(P5=0,0,'Student Loan Inputs'!$A$7))</f>
        <v>3000</v>
      </c>
      <c r="H5" s="3">
        <f ca="1">IF($B5="","",$L5-'Student Loan Inputs'!$AC$12*1.5)</f>
        <v>344573.62192118459</v>
      </c>
      <c r="I5" s="3">
        <f ca="1">IF($B5="","",$K5-'Student Loan Inputs'!$AC$12*1.5)</f>
        <v>128253.6219211845</v>
      </c>
      <c r="J5" s="3">
        <f ca="1">IFERROR(IF($B5+5&gt;'Student Loan Inputs'!$AB$12,"",$K5-'Student Loan Inputs'!$AC$12*1.5),"")</f>
        <v>128253.6219211845</v>
      </c>
      <c r="K5" s="3">
        <f ca="1">IF($B5="","",IF($A5&lt;='Student Loan Inputs'!$E$4,'Student Loan Inputs'!$C$4*((1+'Student Loan Inputs'!$AE$12)^$A5),Simulation!$K4*((1+'Student Loan Inputs'!$F$4))))</f>
        <v>163038.6219211845</v>
      </c>
      <c r="L5" s="12">
        <f ca="1">IF($B5="","",IF($C5="No",$K5,$K5+'Student Loan Inputs'!$E$7)+IF($C4="Yes",IF($B5&lt;=('Student Loan Inputs'!$D$7+'Student Loan Inputs'!$G$7),('Student Loan Inputs'!$E$7*(1+'Student Loan Inputs'!$AD$12)^($B5-'Student Loan Inputs'!$D$7))-'Student Loan Inputs'!$E$7,((1+'Student Loan Inputs'!$F$4)^(Simulation!$B5-('Student Loan Inputs'!$D$7+'Student Loan Inputs'!$G$7)))*('Student Loan Inputs'!$E$7*((1+'Student Loan Inputs'!$AD$12)^'Student Loan Inputs'!$G$7))-'Student Loan Inputs'!$E$7),0))</f>
        <v>379358.62192118459</v>
      </c>
      <c r="M5" s="12">
        <f ca="1">IFERROR(IF($B5="","",IF($M4*'Student Loan Inputs'!$B$4&gt;=Simulation!$D4*12,$M4+$Q4,IF($M4*(1+'Student Loan Inputs'!$B$4)-$D4*12&gt;0,$M4*(1+'Student Loan Inputs'!$B$4)-$D4*12,""))),"")</f>
        <v>97720.42667257326</v>
      </c>
      <c r="N5" s="12">
        <f ca="1">IFERROR(IF($B5="","",IF($N4*(1+'Student Loan Inputs'!$B$4)-($E4*12)&gt;0,$N4*(1+'Student Loan Inputs'!$B$4)-($E4*12),"")),"")</f>
        <v>135566.0176088599</v>
      </c>
      <c r="O5" s="12">
        <f ca="1">IFERROR(IF($B5+5&gt;'Student Loan Inputs'!$AB$12,"",IF($O4*(1+'Student Loan Inputs'!$B$4)-($F4*12)&gt;0,$O4*(1+'Student Loan Inputs'!$B$4)-($F4*12),"")),"")</f>
        <v>151286.66667257325</v>
      </c>
      <c r="P5" s="12">
        <f ca="1">IFERROR(IF($B5="","",IF(($P4*(1+'Student Loan Inputs'!$B$4)-$G4*12)&lt;0,"",IF($P4*(1+'Student Loan Inputs'!$B$4)-$G4*12&gt;0,$P4*(1+'Student Loan Inputs'!$B$4)-$G4*12,""))),"")</f>
        <v>67217.500800000009</v>
      </c>
      <c r="Q5" s="12">
        <f ca="1">IFERROR(IF($B5="","",IF(($M5*'Student Loan Inputs'!$B$4-$D5*12)&lt;0,0,($M5*'Student Loan Inputs'!$B$4-$D5*12)/2)),"")</f>
        <v>0</v>
      </c>
      <c r="R5" s="12">
        <f ca="1">IFERROR(IF($B5="","",IF(($N5*'Student Loan Inputs'!$B$4-$E5*12)&lt;0,0,$N5*'Student Loan Inputs'!$B$4-$E5*12)),"")</f>
        <v>0</v>
      </c>
      <c r="S5" s="12">
        <f ca="1">IFERROR(IF($B5+5&gt;'Student Loan Inputs'!$AB$12,"",IF(($O5*'Student Loan Inputs'!$B$4-$F5*12)&lt;0,0,$O5*'Student Loan Inputs'!$B$4-$F5*12)),"")</f>
        <v>0</v>
      </c>
      <c r="T5" s="12">
        <f ca="1">IFERROR(IF($B5="","",IF(($P5*'Student Loan Inputs'!$B$4-$G5*12)&lt;0,0,$P5*'Student Loan Inputs'!$B$4-$G5*12)),"")</f>
        <v>0</v>
      </c>
      <c r="U5" s="4">
        <f ca="1">IFERROR(IF(M6="",IF(M5&gt;D5*12,0,M5),D5*12),"")</f>
        <v>34457.36219211846</v>
      </c>
      <c r="V5" s="4">
        <f t="shared" ca="1" si="3"/>
        <v>19238.043288177676</v>
      </c>
      <c r="W5" s="4">
        <f t="shared" ca="1" si="4"/>
        <v>12825.362192118451</v>
      </c>
      <c r="X5" s="4">
        <f t="shared" ca="1" si="5"/>
        <v>36000</v>
      </c>
      <c r="Y5" s="4">
        <f ca="1">MIN(IF($B5&lt;'Student Loan Inputs'!$AF$12,Simulation!U5,0),IF(OR($X5=0,U5&gt;X5),U5,$X5))</f>
        <v>34457.36219211846</v>
      </c>
      <c r="Z5" s="4">
        <f ca="1">MIN(IF($B5&lt;'Student Loan Inputs'!$AF$12,Simulation!V5,0),IF(OR($X5=0,V5&gt;X5),V5,$X5))</f>
        <v>19238.043288177676</v>
      </c>
      <c r="AA5" s="4">
        <f ca="1">MIN(IF($B5&lt;'Student Loan Inputs'!$AF$12,Simulation!W5,0),IF(OR($X5=0,W5&gt;X5),W5,$X5))</f>
        <v>12825.362192118451</v>
      </c>
      <c r="AB5" s="4">
        <f ca="1">IF($B5&lt;'Student Loan Inputs'!$AF$12,Simulation!X5,0)</f>
        <v>36000</v>
      </c>
      <c r="AC5" s="29">
        <f t="shared" ca="1" si="6"/>
        <v>0</v>
      </c>
      <c r="AD5" s="29">
        <f t="shared" ca="1" si="0"/>
        <v>0</v>
      </c>
      <c r="AE5" s="29">
        <f t="shared" ca="1" si="0"/>
        <v>0</v>
      </c>
      <c r="AF5" s="29">
        <f t="shared" ca="1" si="0"/>
        <v>0</v>
      </c>
    </row>
    <row r="6" spans="1:42" x14ac:dyDescent="0.35">
      <c r="A6" s="13">
        <v>4</v>
      </c>
      <c r="B6" s="13">
        <f ca="1">IF(($B$2+$A6)&gt;'Student Loan Inputs'!$AB$12,"",($B$2+$A6))</f>
        <v>2020</v>
      </c>
      <c r="C6" s="13" t="str">
        <f ca="1">IF($B6="","",IF(B6&gt;='Student Loan Inputs'!$D$7,"Yes","No"))</f>
        <v>Yes</v>
      </c>
      <c r="D6" s="12">
        <f t="shared" ca="1" si="1"/>
        <v>3089.699085745724</v>
      </c>
      <c r="E6" s="12">
        <f t="shared" ca="1" si="2"/>
        <v>1822.3886286185846</v>
      </c>
      <c r="F6" s="12">
        <f ca="1">IFERROR(IF($B6+5&gt;'Student Loan Inputs'!$AB$12,"",IF(G6&gt;J6*0.1/12,IF(O6=0,0,J6*0.1/12),G6)),"")</f>
        <v>1214.9257524123898</v>
      </c>
      <c r="G6" s="12">
        <f ca="1">IF($B6="","",IF(P6=0,0,'Student Loan Inputs'!$A$7))</f>
        <v>3000</v>
      </c>
      <c r="H6" s="3">
        <f ca="1">IF($B6="","",$L6-'Student Loan Inputs'!$AC$12*1.5)</f>
        <v>370763.89028948685</v>
      </c>
      <c r="I6" s="3">
        <f ca="1">IF($B6="","",$K6-'Student Loan Inputs'!$AC$12*1.5)</f>
        <v>145791.09028948678</v>
      </c>
      <c r="J6" s="3">
        <f ca="1">IFERROR(IF($B6+5&gt;'Student Loan Inputs'!$AB$12,"",$K6-'Student Loan Inputs'!$AC$12*1.5),"")</f>
        <v>145791.09028948678</v>
      </c>
      <c r="K6" s="3">
        <f ca="1">IF($B6="","",IF($A6&lt;='Student Loan Inputs'!$E$4,'Student Loan Inputs'!$C$4*((1+'Student Loan Inputs'!$AE$12)^$A6),Simulation!$K5*((1+'Student Loan Inputs'!$F$4))))</f>
        <v>180576.09028948678</v>
      </c>
      <c r="L6" s="12">
        <f ca="1">IF($B6="","",IF($C6="No",$K6,$K6+'Student Loan Inputs'!$E$7)+IF($C5="Yes",IF($B6&lt;=('Student Loan Inputs'!$D$7+'Student Loan Inputs'!$G$7),('Student Loan Inputs'!$E$7*(1+'Student Loan Inputs'!$AD$12)^($B6-'Student Loan Inputs'!$D$7))-'Student Loan Inputs'!$E$7,((1+'Student Loan Inputs'!$F$4)^(Simulation!$B6-('Student Loan Inputs'!$D$7+'Student Loan Inputs'!$G$7)))*('Student Loan Inputs'!$E$7*((1+'Student Loan Inputs'!$AD$12)^'Student Loan Inputs'!$G$7))-'Student Loan Inputs'!$E$7),0))</f>
        <v>405548.89028948685</v>
      </c>
      <c r="M6" s="12">
        <f ca="1">IFERROR(IF($B6="","",IF($M5*'Student Loan Inputs'!$B$4&gt;=Simulation!$D5*12,$M5+$Q5,IF($M5*(1+'Student Loan Inputs'!$B$4)-$D5*12&gt;0,$M5*(1+'Student Loan Inputs'!$B$4)-$D5*12,""))),"")</f>
        <v>69908.053494189779</v>
      </c>
      <c r="N6" s="12">
        <f ca="1">IFERROR(IF($B6="","",IF($N5*(1+'Student Loan Inputs'!$B$4)-($E5*12)&gt;0,$N5*(1+'Student Loan Inputs'!$B$4)-($E5*12),"")),"")</f>
        <v>125546.46351808471</v>
      </c>
      <c r="O6" s="12">
        <f ca="1">IFERROR(IF($B6+5&gt;'Student Loan Inputs'!$AB$12,"",IF($O5*(1+'Student Loan Inputs'!$B$4)-($F5*12)&gt;0,$O5*(1+'Student Loan Inputs'!$B$4)-($F5*12),"")),"")</f>
        <v>148748.79781418978</v>
      </c>
      <c r="P6" s="12">
        <f ca="1">IFERROR(IF($B6="","",IF(($P5*(1+'Student Loan Inputs'!$B$4)-$G5*12)&lt;0,"",IF($P5*(1+'Student Loan Inputs'!$B$4)-$G5*12&gt;0,$P5*(1+'Student Loan Inputs'!$B$4)-$G5*12,""))),"")</f>
        <v>35788.290854400009</v>
      </c>
      <c r="Q6" s="12">
        <f ca="1">IFERROR(IF($B6="","",IF(($M6*'Student Loan Inputs'!$B$4-$D6*12)&lt;0,0,($M6*'Student Loan Inputs'!$B$4-$D6*12)/2)),"")</f>
        <v>0</v>
      </c>
      <c r="R6" s="12">
        <f ca="1">IFERROR(IF($B6="","",IF(($N6*'Student Loan Inputs'!$B$4-$E6*12)&lt;0,0,$N6*'Student Loan Inputs'!$B$4-$E6*12)),"")</f>
        <v>0</v>
      </c>
      <c r="S6" s="12">
        <f ca="1">IFERROR(IF($B6+5&gt;'Student Loan Inputs'!$AB$12,"",IF(($O6*'Student Loan Inputs'!$B$4-$F6*12)&lt;0,0,$O6*'Student Loan Inputs'!$B$4-$F6*12)),"")</f>
        <v>0</v>
      </c>
      <c r="T6" s="12">
        <f ca="1">IFERROR(IF($B6="","",IF(($P6*'Student Loan Inputs'!$B$4-$G6*12)&lt;0,0,$P6*'Student Loan Inputs'!$B$4-$G6*12)),"")</f>
        <v>0</v>
      </c>
      <c r="U6" s="4">
        <f t="shared" ref="U6:U25" ca="1" si="7">IFERROR(IF(M7="",IF(M6&gt;D6*12,0,M6),D6*12),"")</f>
        <v>37076.389028948688</v>
      </c>
      <c r="V6" s="4">
        <f t="shared" ca="1" si="3"/>
        <v>21868.663543423016</v>
      </c>
      <c r="W6" s="4">
        <f t="shared" ca="1" si="4"/>
        <v>14579.109028948678</v>
      </c>
      <c r="X6" s="4">
        <f t="shared" ca="1" si="5"/>
        <v>36000</v>
      </c>
      <c r="Y6" s="4">
        <f ca="1">MIN(IF($B6&lt;'Student Loan Inputs'!$AF$12,Simulation!U6,0),IF(OR($X6=0,U6&gt;X6),U6,$X6))</f>
        <v>37076.389028948688</v>
      </c>
      <c r="Z6" s="4">
        <f ca="1">MIN(IF($B6&lt;'Student Loan Inputs'!$AF$12,Simulation!V6,0),IF(OR($X6=0,V6&gt;X6),V6,$X6))</f>
        <v>21868.663543423016</v>
      </c>
      <c r="AA6" s="4">
        <f ca="1">MIN(IF($B6&lt;'Student Loan Inputs'!$AF$12,Simulation!W6,0),IF(OR($X6=0,W6&gt;X6),W6,$X6))</f>
        <v>14579.109028948678</v>
      </c>
      <c r="AB6" s="4">
        <f ca="1">IF($B6&lt;'Student Loan Inputs'!$AF$12,Simulation!X6,0)</f>
        <v>36000</v>
      </c>
      <c r="AC6" s="29">
        <f t="shared" ca="1" si="6"/>
        <v>0</v>
      </c>
      <c r="AD6" s="29">
        <f t="shared" ca="1" si="0"/>
        <v>0</v>
      </c>
      <c r="AE6" s="29">
        <f t="shared" ca="1" si="0"/>
        <v>0</v>
      </c>
      <c r="AF6" s="29">
        <f t="shared" ca="1" si="0"/>
        <v>0</v>
      </c>
    </row>
    <row r="7" spans="1:42" x14ac:dyDescent="0.35">
      <c r="A7" s="13">
        <v>5</v>
      </c>
      <c r="B7" s="13">
        <f ca="1">IF(($B$2+$A7)&gt;'Student Loan Inputs'!$AB$12,"",($B$2+$A7))</f>
        <v>2021</v>
      </c>
      <c r="C7" s="13" t="str">
        <f ca="1">IF($B7="","",IF(B7&gt;='Student Loan Inputs'!$D$7,"Yes","No"))</f>
        <v>Yes</v>
      </c>
      <c r="D7" s="12">
        <f t="shared" ca="1" si="1"/>
        <v>3326.5559333333335</v>
      </c>
      <c r="E7" s="12">
        <f t="shared" ca="1" si="2"/>
        <v>2065.1874999999986</v>
      </c>
      <c r="F7" s="12">
        <f ca="1">IFERROR(IF($B7+5&gt;'Student Loan Inputs'!$AB$12,"",IF(G7&gt;J7*0.1/12,IF(O7=0,0,J7*0.1/12),G7)),"")</f>
        <v>1376.7916666666661</v>
      </c>
      <c r="G7" s="12">
        <f ca="1">IF($B7="","",IF(P7=0,0,'Student Loan Inputs'!$A$7))</f>
        <v>3000</v>
      </c>
      <c r="H7" s="3">
        <f ca="1">IF($B7="","",$L7-'Student Loan Inputs'!$AC$12*1.5)</f>
        <v>399186.712</v>
      </c>
      <c r="I7" s="3">
        <f ca="1">IF($B7="","",$K7-'Student Loan Inputs'!$AC$12*1.5)</f>
        <v>165214.99999999991</v>
      </c>
      <c r="J7" s="3">
        <f ca="1">IFERROR(IF($B7+5&gt;'Student Loan Inputs'!$AB$12,"",$K7-'Student Loan Inputs'!$AC$12*1.5),"")</f>
        <v>165214.99999999991</v>
      </c>
      <c r="K7" s="3">
        <f ca="1">IF($B7="","",IF($A7&lt;='Student Loan Inputs'!$E$4,'Student Loan Inputs'!$C$4*((1+'Student Loan Inputs'!$AE$12)^$A7),Simulation!$K6*((1+'Student Loan Inputs'!$F$4))))</f>
        <v>199999.99999999991</v>
      </c>
      <c r="L7" s="12">
        <f ca="1">IF($B7="","",IF($C7="No",$K7,$K7+'Student Loan Inputs'!$E$7)+IF($C6="Yes",IF($B7&lt;=('Student Loan Inputs'!$D$7+'Student Loan Inputs'!$G$7),('Student Loan Inputs'!$E$7*(1+'Student Loan Inputs'!$AD$12)^($B7-'Student Loan Inputs'!$D$7))-'Student Loan Inputs'!$E$7,((1+'Student Loan Inputs'!$F$4)^(Simulation!$B7-('Student Loan Inputs'!$D$7+'Student Loan Inputs'!$G$7)))*('Student Loan Inputs'!$E$7*((1+'Student Loan Inputs'!$AD$12)^'Student Loan Inputs'!$G$7))-'Student Loan Inputs'!$E$7),0))</f>
        <v>433971.712</v>
      </c>
      <c r="M7" s="12">
        <f ca="1">IFERROR(IF($B7="","",IF($M6*'Student Loan Inputs'!$B$4&gt;=Simulation!$D6*12,$M6+$Q6,IF($M6*(1+'Student Loan Inputs'!$B$4)-$D6*12&gt;0,$M6*(1+'Student Loan Inputs'!$B$4)-$D6*12,""))),"")</f>
        <v>37585.412102846007</v>
      </c>
      <c r="N7" s="12">
        <f ca="1">IFERROR(IF($B7="","",IF($N6*(1+'Student Loan Inputs'!$B$4)-($E6*12)&gt;0,$N6*(1+'Student Loan Inputs'!$B$4)-($E6*12),"")),"")</f>
        <v>112214.95949389147</v>
      </c>
      <c r="O7" s="12">
        <f ca="1">IFERROR(IF($B7+5&gt;'Student Loan Inputs'!$AB$12,"",IF($O6*(1+'Student Loan Inputs'!$B$4)-($F6*12)&gt;0,$O6*(1+'Student Loan Inputs'!$B$4)-($F6*12),"")),"")</f>
        <v>144284.607036606</v>
      </c>
      <c r="P7" s="12">
        <f ca="1">IFERROR(IF($B7="","",IF(($P6*(1+'Student Loan Inputs'!$B$4)-$G6*12)&lt;0,"",IF($P6*(1+'Student Loan Inputs'!$B$4)-$G6*12&gt;0,$P6*(1+'Student Loan Inputs'!$B$4)-$G6*12,""))),"")</f>
        <v>2221.8946324992139</v>
      </c>
      <c r="Q7" s="12">
        <f ca="1">IFERROR(IF($B7="","",IF(($M7*'Student Loan Inputs'!$B$4-$D7*12)&lt;0,0,($M7*'Student Loan Inputs'!$B$4-$D7*12)/2)),"")</f>
        <v>0</v>
      </c>
      <c r="R7" s="12">
        <f ca="1">IFERROR(IF($B7="","",IF(($N7*'Student Loan Inputs'!$B$4-$E7*12)&lt;0,0,$N7*'Student Loan Inputs'!$B$4-$E7*12)),"")</f>
        <v>0</v>
      </c>
      <c r="S7" s="12">
        <f ca="1">IFERROR(IF($B7+5&gt;'Student Loan Inputs'!$AB$12,"",IF(($O7*'Student Loan Inputs'!$B$4-$F7*12)&lt;0,0,$O7*'Student Loan Inputs'!$B$4-$F7*12)),"")</f>
        <v>0</v>
      </c>
      <c r="T7" s="12">
        <f ca="1">IFERROR(IF($B7="","",IF(($P7*'Student Loan Inputs'!$B$4-$G7*12)&lt;0,0,$P7*'Student Loan Inputs'!$B$4-$G7*12)),"")</f>
        <v>0</v>
      </c>
      <c r="U7" s="4">
        <f t="shared" ca="1" si="7"/>
        <v>39918.671200000004</v>
      </c>
      <c r="V7" s="4">
        <f t="shared" ca="1" si="3"/>
        <v>24782.249999999985</v>
      </c>
      <c r="W7" s="4">
        <f t="shared" ca="1" si="4"/>
        <v>16521.499999999993</v>
      </c>
      <c r="X7" s="4">
        <f t="shared" ca="1" si="5"/>
        <v>2221.8946324992139</v>
      </c>
      <c r="Y7" s="4">
        <f ca="1">MIN(IF($B7&lt;'Student Loan Inputs'!$AF$12,Simulation!U7,0),IF(OR($X7=0,U7&gt;X7),U7,$X7))</f>
        <v>39918.671200000004</v>
      </c>
      <c r="Z7" s="4">
        <f ca="1">MIN(IF($B7&lt;'Student Loan Inputs'!$AF$12,Simulation!V7,0),IF(OR($X7=0,V7&gt;X7),V7,$X7))</f>
        <v>24782.249999999985</v>
      </c>
      <c r="AA7" s="4">
        <f ca="1">MIN(IF($B7&lt;'Student Loan Inputs'!$AF$12,Simulation!W7,0),IF(OR($X7=0,W7&gt;X7),W7,$X7))</f>
        <v>16521.499999999993</v>
      </c>
      <c r="AB7" s="4">
        <f ca="1">IF($B7&lt;'Student Loan Inputs'!$AF$12,Simulation!X7,0)</f>
        <v>2221.8946324992139</v>
      </c>
      <c r="AC7" s="29">
        <f t="shared" ca="1" si="6"/>
        <v>0</v>
      </c>
      <c r="AD7" s="29">
        <f t="shared" ca="1" si="0"/>
        <v>0</v>
      </c>
      <c r="AE7" s="29">
        <f t="shared" ca="1" si="0"/>
        <v>0</v>
      </c>
      <c r="AF7" s="29">
        <f t="shared" ca="1" si="0"/>
        <v>1</v>
      </c>
      <c r="AP7" s="4"/>
    </row>
    <row r="8" spans="1:42" x14ac:dyDescent="0.35">
      <c r="A8" s="13">
        <v>6</v>
      </c>
      <c r="B8" s="13">
        <f ca="1">IF(($B$2+$A8)&gt;'Student Loan Inputs'!$AB$12,"",($B$2+$A8))</f>
        <v>2022</v>
      </c>
      <c r="C8" s="13" t="str">
        <f ca="1">IF($B8="","",IF(B8&gt;='Student Loan Inputs'!$D$7,"Yes","No"))</f>
        <v>Yes</v>
      </c>
      <c r="D8" s="12">
        <f t="shared" ca="1" si="1"/>
        <v>3471.2131706666673</v>
      </c>
      <c r="E8" s="12">
        <f t="shared" ca="1" si="2"/>
        <v>2165.1874999999986</v>
      </c>
      <c r="F8" s="12">
        <f ca="1">IFERROR(IF($B8+5&gt;'Student Loan Inputs'!$AB$12,"",IF(G8&gt;J8*0.1/12,IF(O8=0,0,J8*0.1/12),G8)),"")</f>
        <v>1443.4583333333328</v>
      </c>
      <c r="G8" s="12">
        <f ca="1">IF($B8="","",IF(P8=0,0,'Student Loan Inputs'!$A$7))</f>
        <v>3000</v>
      </c>
      <c r="H8" s="3">
        <f ca="1">IF($B8="","",$L8-'Student Loan Inputs'!$AC$12*1.5)</f>
        <v>416545.58048</v>
      </c>
      <c r="I8" s="3">
        <f ca="1">IF($B8="","",$K8-'Student Loan Inputs'!$AC$12*1.5)</f>
        <v>173214.99999999991</v>
      </c>
      <c r="J8" s="3">
        <f ca="1">IFERROR(IF($B8+5&gt;'Student Loan Inputs'!$AB$12,"",$K8-'Student Loan Inputs'!$AC$12*1.5),"")</f>
        <v>173214.99999999991</v>
      </c>
      <c r="K8" s="3">
        <f ca="1">IF($B8="","",IF($A8&lt;='Student Loan Inputs'!$E$4,'Student Loan Inputs'!$C$4*((1+'Student Loan Inputs'!$AE$12)^$A8),Simulation!$K7*((1+'Student Loan Inputs'!$F$4))))</f>
        <v>207999.99999999991</v>
      </c>
      <c r="L8" s="12">
        <f ca="1">IF($B8="","",IF($C8="No",$K8,$K8+'Student Loan Inputs'!$E$7)+IF($C7="Yes",IF($B8&lt;=('Student Loan Inputs'!$D$7+'Student Loan Inputs'!$G$7),('Student Loan Inputs'!$E$7*(1+'Student Loan Inputs'!$AD$12)^($B8-'Student Loan Inputs'!$D$7))-'Student Loan Inputs'!$E$7,((1+'Student Loan Inputs'!$F$4)^(Simulation!$B8-('Student Loan Inputs'!$D$7+'Student Loan Inputs'!$G$7)))*('Student Loan Inputs'!$E$7*((1+'Student Loan Inputs'!$AD$12)^'Student Loan Inputs'!$G$7))-'Student Loan Inputs'!$E$7),0))</f>
        <v>451330.58048</v>
      </c>
      <c r="M8" s="12">
        <f ca="1">IFERROR(IF($B8="","",IF($M7*'Student Loan Inputs'!$B$4&gt;=Simulation!$D7*12,$M7+$Q7,IF($M7*(1+'Student Loan Inputs'!$B$4)-$D7*12&gt;0,$M7*(1+'Student Loan Inputs'!$B$4)-$D7*12,""))),"")</f>
        <v>222.54892583953188</v>
      </c>
      <c r="N8" s="12">
        <f ca="1">IFERROR(IF($B8="","",IF($N7*(1+'Student Loan Inputs'!$B$4)-($E7*12)&gt;0,$N7*(1+'Student Loan Inputs'!$B$4)-($E7*12),"")),"")</f>
        <v>95063.326739476106</v>
      </c>
      <c r="O8" s="12">
        <f ca="1">IFERROR(IF($B8+5&gt;'Student Loan Inputs'!$AB$12,"",IF($O7*(1+'Student Loan Inputs'!$B$4)-($F7*12)&gt;0,$O7*(1+'Student Loan Inputs'!$B$4)-($F7*12),"")),"")</f>
        <v>137574.46031509523</v>
      </c>
      <c r="P8" s="12" t="str">
        <f ca="1">IFERROR(IF($B8="","",IF(($P7*(1+'Student Loan Inputs'!$B$4)-$G7*12)&lt;0,"",IF($P7*(1+'Student Loan Inputs'!$B$4)-$G7*12&gt;0,$P7*(1+'Student Loan Inputs'!$B$4)-$G7*12,""))),"")</f>
        <v/>
      </c>
      <c r="Q8" s="12">
        <f ca="1">IFERROR(IF($B8="","",IF(($M8*'Student Loan Inputs'!$B$4-$D8*12)&lt;0,0,($M8*'Student Loan Inputs'!$B$4-$D8*12)/2)),"")</f>
        <v>0</v>
      </c>
      <c r="R8" s="12">
        <f ca="1">IFERROR(IF($B8="","",IF(($N8*'Student Loan Inputs'!$B$4-$E8*12)&lt;0,0,$N8*'Student Loan Inputs'!$B$4-$E8*12)),"")</f>
        <v>0</v>
      </c>
      <c r="S8" s="12">
        <f ca="1">IFERROR(IF($B8+5&gt;'Student Loan Inputs'!$AB$12,"",IF(($O8*'Student Loan Inputs'!$B$4-$F8*12)&lt;0,0,$O8*'Student Loan Inputs'!$B$4-$F8*12)),"")</f>
        <v>0</v>
      </c>
      <c r="T8" s="12" t="str">
        <f ca="1">IFERROR(IF($B8="","",IF(($P8*'Student Loan Inputs'!$B$4-$G8*12)&lt;0,0,$P8*'Student Loan Inputs'!$B$4-$G8*12)),"")</f>
        <v/>
      </c>
      <c r="U8" s="4">
        <f t="shared" ca="1" si="7"/>
        <v>222.54892583953188</v>
      </c>
      <c r="V8" s="4">
        <f t="shared" ca="1" si="3"/>
        <v>25982.249999999985</v>
      </c>
      <c r="W8" s="4">
        <f t="shared" ca="1" si="4"/>
        <v>17321.499999999993</v>
      </c>
      <c r="X8" s="4">
        <f t="shared" ca="1" si="5"/>
        <v>0</v>
      </c>
      <c r="Y8" s="4">
        <f ca="1">MIN(IF($B8&lt;'Student Loan Inputs'!$AF$12,Simulation!U8,0),IF(OR($X8=0,U8&gt;X8),U8,$X8))</f>
        <v>222.54892583953188</v>
      </c>
      <c r="Z8" s="4">
        <f ca="1">MIN(IF($B8&lt;'Student Loan Inputs'!$AF$12,Simulation!V8,0),IF(OR($X8=0,V8&gt;X8),V8,$X8))</f>
        <v>25982.249999999985</v>
      </c>
      <c r="AA8" s="4">
        <f ca="1">MIN(IF($B8&lt;'Student Loan Inputs'!$AF$12,Simulation!W8,0),IF(OR($X8=0,W8&gt;X8),W8,$X8))</f>
        <v>17321.499999999993</v>
      </c>
      <c r="AB8" s="4">
        <f ca="1">IF($B8&lt;'Student Loan Inputs'!$AF$12,Simulation!X8,0)</f>
        <v>0</v>
      </c>
      <c r="AC8" s="29">
        <f t="shared" ca="1" si="6"/>
        <v>1</v>
      </c>
      <c r="AD8" s="29">
        <f t="shared" ca="1" si="0"/>
        <v>0</v>
      </c>
      <c r="AE8" s="29">
        <f t="shared" ca="1" si="0"/>
        <v>0</v>
      </c>
      <c r="AF8" s="29">
        <f t="shared" ca="1" si="0"/>
        <v>0</v>
      </c>
    </row>
    <row r="9" spans="1:42" x14ac:dyDescent="0.35">
      <c r="A9" s="13">
        <v>7</v>
      </c>
      <c r="B9" s="13">
        <f ca="1">IF(($B$2+$A9)&gt;'Student Loan Inputs'!$AB$12,"",($B$2+$A9))</f>
        <v>2023</v>
      </c>
      <c r="C9" s="13" t="str">
        <f ca="1">IF($B9="","",IF(B9&gt;='Student Loan Inputs'!$D$7,"Yes","No"))</f>
        <v>Yes</v>
      </c>
      <c r="D9" s="12">
        <f t="shared" ca="1" si="1"/>
        <v>3621.6566974933339</v>
      </c>
      <c r="E9" s="12">
        <f t="shared" ca="1" si="2"/>
        <v>2269.1874999999986</v>
      </c>
      <c r="F9" s="12">
        <f ca="1">IFERROR(IF($B9+5&gt;'Student Loan Inputs'!$AB$12,"",IF(G9&gt;J9*0.1/12,IF(O9=0,0,J9*0.1/12),G9)),"")</f>
        <v>1512.7916666666661</v>
      </c>
      <c r="G9" s="12">
        <f ca="1">IF($B9="","",IF(P9=0,0,'Student Loan Inputs'!$A$7))</f>
        <v>3000</v>
      </c>
      <c r="H9" s="3">
        <f ca="1">IF($B9="","",$L9-'Student Loan Inputs'!$AC$12*1.5)</f>
        <v>434598.80369920004</v>
      </c>
      <c r="I9" s="3">
        <f ca="1">IF($B9="","",$K9-'Student Loan Inputs'!$AC$12*1.5)</f>
        <v>181534.99999999991</v>
      </c>
      <c r="J9" s="3">
        <f ca="1">IFERROR(IF($B9+5&gt;'Student Loan Inputs'!$AB$12,"",$K9-'Student Loan Inputs'!$AC$12*1.5),"")</f>
        <v>181534.99999999991</v>
      </c>
      <c r="K9" s="3">
        <f ca="1">IF($B9="","",IF($A9&lt;='Student Loan Inputs'!$E$4,'Student Loan Inputs'!$C$4*((1+'Student Loan Inputs'!$AE$12)^$A9),Simulation!$K8*((1+'Student Loan Inputs'!$F$4))))</f>
        <v>216319.99999999991</v>
      </c>
      <c r="L9" s="12">
        <f ca="1">IF($B9="","",IF($C9="No",$K9,$K9+'Student Loan Inputs'!$E$7)+IF($C8="Yes",IF($B9&lt;=('Student Loan Inputs'!$D$7+'Student Loan Inputs'!$G$7),('Student Loan Inputs'!$E$7*(1+'Student Loan Inputs'!$AD$12)^($B9-'Student Loan Inputs'!$D$7))-'Student Loan Inputs'!$E$7,((1+'Student Loan Inputs'!$F$4)^(Simulation!$B9-('Student Loan Inputs'!$D$7+'Student Loan Inputs'!$G$7)))*('Student Loan Inputs'!$E$7*((1+'Student Loan Inputs'!$AD$12)^'Student Loan Inputs'!$G$7))-'Student Loan Inputs'!$E$7),0))</f>
        <v>469383.80369920004</v>
      </c>
      <c r="M9" s="12" t="str">
        <f ca="1">IFERROR(IF($B9="","",IF($M8*'Student Loan Inputs'!$B$4&gt;=Simulation!$D8*12,$M8+$Q8,IF($M8*(1+'Student Loan Inputs'!$B$4)-$D8*12&gt;0,$M8*(1+'Student Loan Inputs'!$B$4)-$D8*12,""))),"")</f>
        <v/>
      </c>
      <c r="N9" s="12">
        <f ca="1">IFERROR(IF($B9="","",IF($N8*(1+'Student Loan Inputs'!$B$4)-($E8*12)&gt;0,$N8*(1+'Student Loan Inputs'!$B$4)-($E8*12),"")),"")</f>
        <v>75545.382957760507</v>
      </c>
      <c r="O9" s="12">
        <f ca="1">IFERROR(IF($B9+5&gt;'Student Loan Inputs'!$AB$12,"",IF($O8*(1+'Student Loan Inputs'!$B$4)-($F8*12)&gt;0,$O8*(1+'Student Loan Inputs'!$B$4)-($F8*12),"")),"")</f>
        <v>129608.02361652171</v>
      </c>
      <c r="P9" s="12" t="str">
        <f ca="1">IFERROR(IF($B9="","",IF(($P8*(1+'Student Loan Inputs'!$B$4)-$G8*12)&lt;0,"",IF($P8*(1+'Student Loan Inputs'!$B$4)-$G8*12&gt;0,$P8*(1+'Student Loan Inputs'!$B$4)-$G8*12,""))),"")</f>
        <v/>
      </c>
      <c r="Q9" s="12" t="str">
        <f ca="1">IFERROR(IF($B9="","",IF(($M9*'Student Loan Inputs'!$B$4-$D9*12)&lt;0,0,($M9*'Student Loan Inputs'!$B$4-$D9*12)/2)),"")</f>
        <v/>
      </c>
      <c r="R9" s="12">
        <f ca="1">IFERROR(IF($B9="","",IF(($N9*'Student Loan Inputs'!$B$4-$E9*12)&lt;0,0,$N9*'Student Loan Inputs'!$B$4-$E9*12)),"")</f>
        <v>0</v>
      </c>
      <c r="S9" s="12">
        <f ca="1">IFERROR(IF($B9+5&gt;'Student Loan Inputs'!$AB$12,"",IF(($O9*'Student Loan Inputs'!$B$4-$F9*12)&lt;0,0,$O9*'Student Loan Inputs'!$B$4-$F9*12)),"")</f>
        <v>0</v>
      </c>
      <c r="T9" s="12" t="str">
        <f ca="1">IFERROR(IF($B9="","",IF(($P9*'Student Loan Inputs'!$B$4-$G9*12)&lt;0,0,$P9*'Student Loan Inputs'!$B$4-$G9*12)),"")</f>
        <v/>
      </c>
      <c r="U9" s="4">
        <f t="shared" ca="1" si="7"/>
        <v>0</v>
      </c>
      <c r="V9" s="4">
        <f t="shared" ca="1" si="3"/>
        <v>27230.249999999985</v>
      </c>
      <c r="W9" s="4">
        <f ca="1">IFERROR(IF(O10="",IF(O9&gt;F9*12,0,O9),F9*12),"")</f>
        <v>18153.499999999993</v>
      </c>
      <c r="X9" s="4">
        <f t="shared" ca="1" si="5"/>
        <v>0</v>
      </c>
      <c r="Y9" s="4">
        <f ca="1">MIN(IF($B9&lt;'Student Loan Inputs'!$AF$12,Simulation!U9,0),IF(OR($X9=0,U9&gt;X9),U9,$X9))</f>
        <v>0</v>
      </c>
      <c r="Z9" s="4">
        <f ca="1">MIN(IF($B9&lt;'Student Loan Inputs'!$AF$12,Simulation!V9,0),IF(OR($X9=0,V9&gt;X9),V9,$X9))</f>
        <v>27230.249999999985</v>
      </c>
      <c r="AA9" s="4">
        <f ca="1">MIN(IF($B9&lt;'Student Loan Inputs'!$AF$12,Simulation!W9,0),IF(OR($X9=0,W9&gt;X9),W9,$X9))</f>
        <v>18153.499999999993</v>
      </c>
      <c r="AB9" s="4">
        <f ca="1">IF($B9&lt;'Student Loan Inputs'!$AF$12,Simulation!X9,0)</f>
        <v>0</v>
      </c>
      <c r="AC9" s="29">
        <f t="shared" ca="1" si="6"/>
        <v>0</v>
      </c>
      <c r="AD9" s="29">
        <f t="shared" ca="1" si="0"/>
        <v>0</v>
      </c>
      <c r="AE9" s="29">
        <f t="shared" ca="1" si="0"/>
        <v>0</v>
      </c>
      <c r="AF9" s="29">
        <f t="shared" ca="1" si="0"/>
        <v>0</v>
      </c>
      <c r="AP9" s="19"/>
    </row>
    <row r="10" spans="1:42" x14ac:dyDescent="0.35">
      <c r="A10" s="13">
        <v>8</v>
      </c>
      <c r="B10" s="13">
        <f ca="1">IF(($B$2+$A10)&gt;'Student Loan Inputs'!$AB$12,"",($B$2+$A10))</f>
        <v>2024</v>
      </c>
      <c r="C10" s="13" t="str">
        <f ca="1">IF($B10="","",IF(B10&gt;='Student Loan Inputs'!$D$7,"Yes","No"))</f>
        <v>Yes</v>
      </c>
      <c r="D10" s="12">
        <f t="shared" ca="1" si="1"/>
        <v>3778.1179653930672</v>
      </c>
      <c r="E10" s="12">
        <f ca="1">IFERROR(IF(G10&gt;=I10*0.15/12,IF($B10="","",IF(N10=0,0,I10*0.15/12)),G10),"")</f>
        <v>2377.3474999999989</v>
      </c>
      <c r="F10" s="12">
        <f ca="1">IFERROR(IF($B10+5&gt;'Student Loan Inputs'!$AB$12,"",IF(G10&gt;J10*0.1/12,IF(O10=0,0,J10*0.1/12),G10)),"")</f>
        <v>1584.8983333333329</v>
      </c>
      <c r="G10" s="12">
        <f ca="1">IF($B10="","",IF(P10=0,0,'Student Loan Inputs'!$A$7))</f>
        <v>3000</v>
      </c>
      <c r="H10" s="3">
        <f ca="1">IF($B10="","",$L10-'Student Loan Inputs'!$AC$12*1.5)</f>
        <v>453374.15584716806</v>
      </c>
      <c r="I10" s="3">
        <f ca="1">IF($B10="","",$K10-'Student Loan Inputs'!$AC$12*1.5)</f>
        <v>190187.79999999993</v>
      </c>
      <c r="J10" s="3">
        <f ca="1">IFERROR(IF($B10+5&gt;'Student Loan Inputs'!$AB$12,"",$K10-'Student Loan Inputs'!$AC$12*1.5),"")</f>
        <v>190187.79999999993</v>
      </c>
      <c r="K10" s="3">
        <f ca="1">IF($B10="","",IF($A10&lt;='Student Loan Inputs'!$E$4,'Student Loan Inputs'!$C$4*((1+'Student Loan Inputs'!$AE$12)^$A10),Simulation!$K9*((1+'Student Loan Inputs'!$F$4))))</f>
        <v>224972.79999999993</v>
      </c>
      <c r="L10" s="12">
        <f ca="1">IF($B10="","",IF($C10="No",$K10,$K10+'Student Loan Inputs'!$E$7)+IF($C9="Yes",IF($B10&lt;=('Student Loan Inputs'!$D$7+'Student Loan Inputs'!$G$7),('Student Loan Inputs'!$E$7*(1+'Student Loan Inputs'!$AD$12)^($B10-'Student Loan Inputs'!$D$7))-'Student Loan Inputs'!$E$7,((1+'Student Loan Inputs'!$F$4)^(Simulation!$B10-('Student Loan Inputs'!$D$7+'Student Loan Inputs'!$G$7)))*('Student Loan Inputs'!$E$7*((1+'Student Loan Inputs'!$AD$12)^'Student Loan Inputs'!$G$7))-'Student Loan Inputs'!$E$7),0))</f>
        <v>488159.15584716806</v>
      </c>
      <c r="M10" s="12" t="str">
        <f ca="1">IFERROR(IF($B10="","",IF($M9*'Student Loan Inputs'!$B$4&gt;=Simulation!$D9*12,$M9+$Q9,IF($M9*(1+'Student Loan Inputs'!$B$4)-$D9*12&gt;0,$M9*(1+'Student Loan Inputs'!$B$4)-$D9*12,""))),"")</f>
        <v/>
      </c>
      <c r="N10" s="12">
        <f ca="1">IFERROR(IF($B10="","",IF($N9*(1+'Student Loan Inputs'!$B$4)-($E9*12)&gt;0,$N9*(1+'Student Loan Inputs'!$B$4)-($E9*12),"")),"")</f>
        <v>53452.218998888246</v>
      </c>
      <c r="O10" s="12">
        <f ca="1">IFERROR(IF($B10+5&gt;'Student Loan Inputs'!$AB$12,"",IF($O9*(1+'Student Loan Inputs'!$B$4)-($F9*12)&gt;0,$O9*(1+'Student Loan Inputs'!$B$4)-($F9*12),"")),"")</f>
        <v>120267.86922244518</v>
      </c>
      <c r="P10" s="12" t="str">
        <f ca="1">IFERROR(IF($B10="","",IF(($P9*(1+'Student Loan Inputs'!$B$4)-$G9*12)&lt;0,"",IF($P9*(1+'Student Loan Inputs'!$B$4)-$G9*12&gt;0,$P9*(1+'Student Loan Inputs'!$B$4)-$G9*12,""))),"")</f>
        <v/>
      </c>
      <c r="Q10" s="12" t="str">
        <f ca="1">IFERROR(IF($B10="","",IF(($M10*'Student Loan Inputs'!$B$4-$D10*12)&lt;0,0,($M10*'Student Loan Inputs'!$B$4-$D10*12)/2)),"")</f>
        <v/>
      </c>
      <c r="R10" s="12">
        <f ca="1">IFERROR(IF($B10="","",IF(($N10*'Student Loan Inputs'!$B$4-$E10*12)&lt;0,0,$N10*'Student Loan Inputs'!$B$4-$E10*12)),"")</f>
        <v>0</v>
      </c>
      <c r="S10" s="12">
        <f ca="1">IFERROR(IF($B10+5&gt;'Student Loan Inputs'!$AB$12,"",IF(($O10*'Student Loan Inputs'!$B$4-$F10*12)&lt;0,0,$O10*'Student Loan Inputs'!$B$4-$F10*12)),"")</f>
        <v>0</v>
      </c>
      <c r="T10" s="12" t="str">
        <f ca="1">IFERROR(IF($B10="","",IF(($P10*'Student Loan Inputs'!$B$4-$G10*12)&lt;0,0,$P10*'Student Loan Inputs'!$B$4-$G10*12)),"")</f>
        <v/>
      </c>
      <c r="U10" s="4">
        <f t="shared" ca="1" si="7"/>
        <v>0</v>
      </c>
      <c r="V10" s="4">
        <f t="shared" ca="1" si="3"/>
        <v>28528.169999999987</v>
      </c>
      <c r="W10" s="4">
        <f t="shared" ca="1" si="4"/>
        <v>19018.779999999995</v>
      </c>
      <c r="X10" s="4">
        <f t="shared" ca="1" si="5"/>
        <v>0</v>
      </c>
      <c r="Y10" s="4">
        <f ca="1">MIN(IF($B10&lt;'Student Loan Inputs'!$AF$12,Simulation!U10,0),IF(OR($X10=0,U10&gt;X10),U10,$X10))</f>
        <v>0</v>
      </c>
      <c r="Z10" s="4">
        <f ca="1">MIN(IF($B10&lt;'Student Loan Inputs'!$AF$12,Simulation!V10,0),IF(OR($X10=0,V10&gt;X10),V10,$X10))</f>
        <v>0</v>
      </c>
      <c r="AA10" s="4">
        <f ca="1">MIN(IF($B10&lt;'Student Loan Inputs'!$AF$12,Simulation!W10,0),IF(OR($X10=0,W10&gt;X10),W10,$X10))</f>
        <v>0</v>
      </c>
      <c r="AB10" s="4">
        <f ca="1">IF($B10&lt;'Student Loan Inputs'!$AF$12,Simulation!X10,0)</f>
        <v>0</v>
      </c>
      <c r="AC10" s="29">
        <f t="shared" ca="1" si="6"/>
        <v>0</v>
      </c>
      <c r="AD10" s="29">
        <f t="shared" ca="1" si="0"/>
        <v>0</v>
      </c>
      <c r="AE10" s="29">
        <f t="shared" ca="1" si="0"/>
        <v>0</v>
      </c>
      <c r="AF10" s="29">
        <f t="shared" ca="1" si="0"/>
        <v>0</v>
      </c>
    </row>
    <row r="11" spans="1:42" x14ac:dyDescent="0.35">
      <c r="A11" s="13">
        <v>9</v>
      </c>
      <c r="B11" s="13">
        <f ca="1">IF(($B$2+$A11)&gt;'Student Loan Inputs'!$AB$12,"",($B$2+$A11))</f>
        <v>2025</v>
      </c>
      <c r="C11" s="13" t="str">
        <f ca="1">IF($B11="","",IF(B11&gt;='Student Loan Inputs'!$D$7,"Yes","No"))</f>
        <v>Yes</v>
      </c>
      <c r="D11" s="12">
        <f t="shared" ca="1" si="1"/>
        <v>3940.8376840087908</v>
      </c>
      <c r="E11" s="12">
        <f t="shared" ca="1" si="2"/>
        <v>2489.8338999999992</v>
      </c>
      <c r="F11" s="12">
        <f ca="1">IFERROR(IF($B11+5&gt;'Student Loan Inputs'!$AB$12,"",IF(G11&gt;J11*0.1/12,IF(O11=0,0,J11*0.1/12),G11)),"")</f>
        <v>1659.8892666666663</v>
      </c>
      <c r="G11" s="12">
        <f ca="1">IF($B11="","",IF(P11=0,0,'Student Loan Inputs'!$A$7))</f>
        <v>3000</v>
      </c>
      <c r="H11" s="3">
        <f ca="1">IF($B11="","",$L11-'Student Loan Inputs'!$AC$12*1.5)</f>
        <v>472900.52208105486</v>
      </c>
      <c r="I11" s="3">
        <f ca="1">IF($B11="","",$K11-'Student Loan Inputs'!$AC$12*1.5)</f>
        <v>199186.71199999994</v>
      </c>
      <c r="J11" s="3">
        <f ca="1">IFERROR(IF($B11+5&gt;'Student Loan Inputs'!$AB$12,"",$K11-'Student Loan Inputs'!$AC$12*1.5),"")</f>
        <v>199186.71199999994</v>
      </c>
      <c r="K11" s="3">
        <f ca="1">IF($B11="","",IF($A11&lt;='Student Loan Inputs'!$E$4,'Student Loan Inputs'!$C$4*((1+'Student Loan Inputs'!$AE$12)^$A11),Simulation!$K10*((1+'Student Loan Inputs'!$F$4))))</f>
        <v>233971.71199999994</v>
      </c>
      <c r="L11" s="12">
        <f ca="1">IF($B11="","",IF($C11="No",$K11,$K11+'Student Loan Inputs'!$E$7)+IF($C10="Yes",IF($B11&lt;=('Student Loan Inputs'!$D$7+'Student Loan Inputs'!$G$7),('Student Loan Inputs'!$E$7*(1+'Student Loan Inputs'!$AD$12)^($B11-'Student Loan Inputs'!$D$7))-'Student Loan Inputs'!$E$7,((1+'Student Loan Inputs'!$F$4)^(Simulation!$B11-('Student Loan Inputs'!$D$7+'Student Loan Inputs'!$G$7)))*('Student Loan Inputs'!$E$7*((1+'Student Loan Inputs'!$AD$12)^'Student Loan Inputs'!$G$7))-'Student Loan Inputs'!$E$7),0))</f>
        <v>507685.52208105486</v>
      </c>
      <c r="M11" s="12" t="str">
        <f ca="1">IFERROR(IF($B11="","",IF($M10*'Student Loan Inputs'!$B$4&gt;=Simulation!$D10*12,$M10+$Q10,IF($M10*(1+'Student Loan Inputs'!$B$4)-$D10*12&gt;0,$M10*(1+'Student Loan Inputs'!$B$4)-$D10*12,""))),"")</f>
        <v/>
      </c>
      <c r="N11" s="12">
        <f ca="1">IFERROR(IF($B11="","",IF($N10*(1+'Student Loan Inputs'!$B$4)-($E10*12)&gt;0,$N10*(1+'Student Loan Inputs'!$B$4)-($E10*12),"")),"")</f>
        <v>28558.799890812665</v>
      </c>
      <c r="O11" s="12">
        <f ca="1">IFERROR(IF($B11+5&gt;'Student Loan Inputs'!$AB$12,"",IF($O10*(1+'Student Loan Inputs'!$B$4)-($F10*12)&gt;0,$O10*(1+'Student Loan Inputs'!$B$4)-($F10*12),"")),"")</f>
        <v>109427.30432957146</v>
      </c>
      <c r="P11" s="12" t="str">
        <f ca="1">IFERROR(IF($B11="","",IF(($P10*(1+'Student Loan Inputs'!$B$4)-$G10*12)&lt;0,"",IF($P10*(1+'Student Loan Inputs'!$B$4)-$G10*12&gt;0,$P10*(1+'Student Loan Inputs'!$B$4)-$G10*12,""))),"")</f>
        <v/>
      </c>
      <c r="Q11" s="12" t="str">
        <f ca="1">IFERROR(IF($B11="","",IF(($M11*'Student Loan Inputs'!$B$4-$D11*12)&lt;0,0,($M11*'Student Loan Inputs'!$B$4-$D11*12)/2)),"")</f>
        <v/>
      </c>
      <c r="R11" s="12">
        <f ca="1">IFERROR(IF($B11="","",IF(($N11*'Student Loan Inputs'!$B$4-$E11*12)&lt;0,0,$N11*'Student Loan Inputs'!$B$4-$E11*12)),"")</f>
        <v>0</v>
      </c>
      <c r="S11" s="12">
        <f ca="1">IFERROR(IF($B11+5&gt;'Student Loan Inputs'!$AB$12,"",IF(($O11*'Student Loan Inputs'!$B$4-$F11*12)&lt;0,0,$O11*'Student Loan Inputs'!$B$4-$F11*12)),"")</f>
        <v>0</v>
      </c>
      <c r="T11" s="12" t="str">
        <f ca="1">IFERROR(IF($B11="","",IF(($P11*'Student Loan Inputs'!$B$4-$G11*12)&lt;0,0,$P11*'Student Loan Inputs'!$B$4-$G11*12)),"")</f>
        <v/>
      </c>
      <c r="U11" s="4">
        <f t="shared" ca="1" si="7"/>
        <v>0</v>
      </c>
      <c r="V11" s="4">
        <f t="shared" ca="1" si="3"/>
        <v>29878.006799999988</v>
      </c>
      <c r="W11" s="4">
        <f t="shared" ca="1" si="4"/>
        <v>19918.671199999997</v>
      </c>
      <c r="X11" s="4">
        <f t="shared" ca="1" si="5"/>
        <v>0</v>
      </c>
      <c r="Y11" s="4">
        <f ca="1">MIN(IF($B11&lt;'Student Loan Inputs'!$AF$12,Simulation!U11,0),IF(OR($X11=0,U11&gt;X11),U11,$X11))</f>
        <v>0</v>
      </c>
      <c r="Z11" s="4">
        <f ca="1">MIN(IF($B11&lt;'Student Loan Inputs'!$AF$12,Simulation!V11,0),IF(OR($X11=0,V11&gt;X11),V11,$X11))</f>
        <v>0</v>
      </c>
      <c r="AA11" s="4">
        <f ca="1">MIN(IF($B11&lt;'Student Loan Inputs'!$AF$12,Simulation!W11,0),IF(OR($X11=0,W11&gt;X11),W11,$X11))</f>
        <v>0</v>
      </c>
      <c r="AB11" s="4">
        <f ca="1">IF($B11&lt;'Student Loan Inputs'!$AF$12,Simulation!X11,0)</f>
        <v>0</v>
      </c>
      <c r="AC11" s="29">
        <f t="shared" ca="1" si="6"/>
        <v>0</v>
      </c>
      <c r="AD11" s="29">
        <f t="shared" ca="1" si="0"/>
        <v>0</v>
      </c>
      <c r="AE11" s="29">
        <f t="shared" ca="1" si="0"/>
        <v>0</v>
      </c>
      <c r="AF11" s="29">
        <f t="shared" ca="1" si="0"/>
        <v>0</v>
      </c>
      <c r="AJ11" s="4"/>
      <c r="AM11" s="19"/>
    </row>
    <row r="12" spans="1:42" x14ac:dyDescent="0.35">
      <c r="A12" s="13">
        <v>10</v>
      </c>
      <c r="B12" s="13">
        <f ca="1">IF(($B$2+$A12)&gt;'Student Loan Inputs'!$AB$12,"",($B$2+$A12))</f>
        <v>2026</v>
      </c>
      <c r="C12" s="13" t="str">
        <f ca="1">IF($B12="","",IF(B12&gt;='Student Loan Inputs'!$D$7,"Yes","No"))</f>
        <v>Yes</v>
      </c>
      <c r="D12" s="12">
        <f t="shared" ca="1" si="1"/>
        <v>4110.066191369142</v>
      </c>
      <c r="E12" s="12">
        <f t="shared" ca="1" si="2"/>
        <v>2606.8197559999994</v>
      </c>
      <c r="F12" s="12">
        <f ca="1">IFERROR(IF($B12+5&gt;'Student Loan Inputs'!$AB$12,"",IF(G12&gt;J12*0.1/12,IF(O12=0,0,J12*0.1/12),G12)),"")</f>
        <v>1737.8798373333329</v>
      </c>
      <c r="G12" s="12">
        <f ca="1">IF($B12="","",IF(P12=0,0,'Student Loan Inputs'!$A$7))</f>
        <v>3000</v>
      </c>
      <c r="H12" s="3">
        <f ca="1">IF($B12="","",$L12-'Student Loan Inputs'!$AC$12*1.5)</f>
        <v>493207.94296429702</v>
      </c>
      <c r="I12" s="3">
        <f ca="1">IF($B12="","",$K12-'Student Loan Inputs'!$AC$12*1.5)</f>
        <v>208545.58047999995</v>
      </c>
      <c r="J12" s="3">
        <f ca="1">IFERROR(IF($B12+5&gt;'Student Loan Inputs'!$AB$12,"",$K12-'Student Loan Inputs'!$AC$12*1.5),"")</f>
        <v>208545.58047999995</v>
      </c>
      <c r="K12" s="3">
        <f ca="1">IF($B12="","",IF($A12&lt;='Student Loan Inputs'!$E$4,'Student Loan Inputs'!$C$4*((1+'Student Loan Inputs'!$AE$12)^$A12),Simulation!$K11*((1+'Student Loan Inputs'!$F$4))))</f>
        <v>243330.58047999995</v>
      </c>
      <c r="L12" s="12">
        <f ca="1">IF($B12="","",IF($C12="No",$K12,$K12+'Student Loan Inputs'!$E$7)+IF($C11="Yes",IF($B12&lt;=('Student Loan Inputs'!$D$7+'Student Loan Inputs'!$G$7),('Student Loan Inputs'!$E$7*(1+'Student Loan Inputs'!$AD$12)^($B12-'Student Loan Inputs'!$D$7))-'Student Loan Inputs'!$E$7,((1+'Student Loan Inputs'!$F$4)^(Simulation!$B12-('Student Loan Inputs'!$D$7+'Student Loan Inputs'!$G$7)))*('Student Loan Inputs'!$E$7*((1+'Student Loan Inputs'!$AD$12)^'Student Loan Inputs'!$G$7))-'Student Loan Inputs'!$E$7),0))</f>
        <v>527992.94296429702</v>
      </c>
      <c r="M12" s="12" t="str">
        <f ca="1">IFERROR(IF($B12="","",IF($M11*'Student Loan Inputs'!$B$4&gt;=Simulation!$D11*12,$M11+$Q11,IF($M11*(1+'Student Loan Inputs'!$B$4)-$D11*12&gt;0,$M11*(1+'Student Loan Inputs'!$B$4)-$D11*12,""))),"")</f>
        <v/>
      </c>
      <c r="N12" s="12">
        <f ca="1">IFERROR(IF($B12="","",IF($N11*(1+'Student Loan Inputs'!$B$4)-($E11*12)&gt;0,$N11*(1+'Student Loan Inputs'!$B$4)-($E11*12),"")),"")</f>
        <v>622.79148338794039</v>
      </c>
      <c r="O12" s="12">
        <f ca="1">IFERROR(IF($B12+5&gt;'Student Loan Inputs'!$AB$12,"",IF($O11*(1+'Student Loan Inputs'!$B$4)-($F11*12)&gt;0,$O11*(1+'Student Loan Inputs'!$B$4)-($F11*12),"")),"")</f>
        <v>96949.689823982335</v>
      </c>
      <c r="P12" s="12" t="str">
        <f ca="1">IFERROR(IF($B12="","",IF(($P11*(1+'Student Loan Inputs'!$B$4)-$G11*12)&lt;0,"",IF($P11*(1+'Student Loan Inputs'!$B$4)-$G11*12&gt;0,$P11*(1+'Student Loan Inputs'!$B$4)-$G11*12,""))),"")</f>
        <v/>
      </c>
      <c r="Q12" s="12" t="str">
        <f ca="1">IFERROR(IF($B12="","",IF(($M12*'Student Loan Inputs'!$B$4-$D12*12)&lt;0,0,($M12*'Student Loan Inputs'!$B$4-$D12*12)/2)),"")</f>
        <v/>
      </c>
      <c r="R12" s="12">
        <f ca="1">IFERROR(IF($B12="","",IF(($N12*'Student Loan Inputs'!$B$4-$E12*12)&lt;0,0,$N12*'Student Loan Inputs'!$B$4-$E12*12)),"")</f>
        <v>0</v>
      </c>
      <c r="S12" s="12">
        <f ca="1">IFERROR(IF($B12+5&gt;'Student Loan Inputs'!$AB$12,"",IF(($O12*'Student Loan Inputs'!$B$4-$F12*12)&lt;0,0,$O12*'Student Loan Inputs'!$B$4-$F12*12)),"")</f>
        <v>0</v>
      </c>
      <c r="T12" s="12" t="str">
        <f ca="1">IFERROR(IF($B12="","",IF(($P12*'Student Loan Inputs'!$B$4-$G12*12)&lt;0,0,$P12*'Student Loan Inputs'!$B$4-$G12*12)),"")</f>
        <v/>
      </c>
      <c r="U12" s="4">
        <f t="shared" ca="1" si="7"/>
        <v>0</v>
      </c>
      <c r="V12" s="4">
        <f t="shared" ca="1" si="3"/>
        <v>622.79148338794039</v>
      </c>
      <c r="W12" s="4">
        <f t="shared" ca="1" si="4"/>
        <v>20854.558047999995</v>
      </c>
      <c r="X12" s="4">
        <f t="shared" ca="1" si="5"/>
        <v>0</v>
      </c>
      <c r="Y12" s="4">
        <f ca="1">MIN(IF($B12&lt;'Student Loan Inputs'!$AF$12,Simulation!U12,0),IF(OR($X12=0,U12&gt;X12),U12,$X12))</f>
        <v>0</v>
      </c>
      <c r="Z12" s="4">
        <f ca="1">MIN(IF($B12&lt;'Student Loan Inputs'!$AF$12,Simulation!V12,0),IF(OR($X12=0,V12&gt;X12),V12,$X12))</f>
        <v>0</v>
      </c>
      <c r="AA12" s="4">
        <f ca="1">MIN(IF($B12&lt;'Student Loan Inputs'!$AF$12,Simulation!W12,0),IF(OR($X12=0,W12&gt;X12),W12,$X12))</f>
        <v>0</v>
      </c>
      <c r="AB12" s="4">
        <f ca="1">IF($B12&lt;'Student Loan Inputs'!$AF$12,Simulation!X12,0)</f>
        <v>0</v>
      </c>
      <c r="AC12" s="29">
        <f t="shared" ca="1" si="6"/>
        <v>0</v>
      </c>
      <c r="AD12" s="29">
        <f t="shared" ca="1" si="0"/>
        <v>1</v>
      </c>
      <c r="AE12" s="29">
        <f t="shared" ca="1" si="0"/>
        <v>0</v>
      </c>
      <c r="AF12" s="29">
        <f t="shared" ca="1" si="0"/>
        <v>0</v>
      </c>
    </row>
    <row r="13" spans="1:42" x14ac:dyDescent="0.35">
      <c r="A13" s="13">
        <v>11</v>
      </c>
      <c r="B13" s="13">
        <f ca="1">IF(($B$2+$A13)&gt;'Student Loan Inputs'!$AB$12,"",($B$2+$A13))</f>
        <v>2027</v>
      </c>
      <c r="C13" s="13" t="str">
        <f ca="1">IF($B13="","",IF(B13&gt;='Student Loan Inputs'!$D$7,"Yes","No"))</f>
        <v>Yes</v>
      </c>
      <c r="D13" s="12">
        <f t="shared" ca="1" si="1"/>
        <v>4286.0638390239083</v>
      </c>
      <c r="E13" s="12">
        <f t="shared" ca="1" si="2"/>
        <v>2728.4850462399995</v>
      </c>
      <c r="F13" s="12">
        <f ca="1">IFERROR(IF($B13+5&gt;'Student Loan Inputs'!$AB$12,"",IF(G13&gt;J13*0.1/12,IF(O13=0,0,J13*0.1/12),G13)),"")</f>
        <v>1818.9900308266663</v>
      </c>
      <c r="G13" s="12">
        <f ca="1">IF($B13="","",IF(P13=0,0,'Student Loan Inputs'!$A$7))</f>
        <v>3000</v>
      </c>
      <c r="H13" s="3">
        <f ca="1">IF($B13="","",$L13-'Student Loan Inputs'!$AC$12*1.5)</f>
        <v>514327.66068286891</v>
      </c>
      <c r="I13" s="3">
        <f ca="1">IF($B13="","",$K13-'Student Loan Inputs'!$AC$12*1.5)</f>
        <v>218278.80369919995</v>
      </c>
      <c r="J13" s="3">
        <f ca="1">IFERROR(IF($B13+5&gt;'Student Loan Inputs'!$AB$12,"",$K13-'Student Loan Inputs'!$AC$12*1.5),"")</f>
        <v>218278.80369919995</v>
      </c>
      <c r="K13" s="3">
        <f ca="1">IF($B13="","",IF($A13&lt;='Student Loan Inputs'!$E$4,'Student Loan Inputs'!$C$4*((1+'Student Loan Inputs'!$AE$12)^$A13),Simulation!$K12*((1+'Student Loan Inputs'!$F$4))))</f>
        <v>253063.80369919995</v>
      </c>
      <c r="L13" s="12">
        <f ca="1">IF($B13="","",IF($C13="No",$K13,$K13+'Student Loan Inputs'!$E$7)+IF($C12="Yes",IF($B13&lt;=('Student Loan Inputs'!$D$7+'Student Loan Inputs'!$G$7),('Student Loan Inputs'!$E$7*(1+'Student Loan Inputs'!$AD$12)^($B13-'Student Loan Inputs'!$D$7))-'Student Loan Inputs'!$E$7,((1+'Student Loan Inputs'!$F$4)^(Simulation!$B13-('Student Loan Inputs'!$D$7+'Student Loan Inputs'!$G$7)))*('Student Loan Inputs'!$E$7*((1+'Student Loan Inputs'!$AD$12)^'Student Loan Inputs'!$G$7))-'Student Loan Inputs'!$E$7),0))</f>
        <v>549112.66068286891</v>
      </c>
      <c r="M13" s="12" t="str">
        <f ca="1">IFERROR(IF($B13="","",IF($M12*'Student Loan Inputs'!$B$4&gt;=Simulation!$D12*12,$M12+$Q12,IF($M12*(1+'Student Loan Inputs'!$B$4)-$D12*12&gt;0,$M12*(1+'Student Loan Inputs'!$B$4)-$D12*12,""))),"")</f>
        <v/>
      </c>
      <c r="N13" s="12" t="str">
        <f ca="1">IFERROR(IF($B13="","",IF($N12*(1+'Student Loan Inputs'!$B$4)-($E12*12)&gt;0,$N12*(1+'Student Loan Inputs'!$B$4)-($E12*12),"")),"")</f>
        <v/>
      </c>
      <c r="O13" s="12">
        <f ca="1">IFERROR(IF($B13+5&gt;'Student Loan Inputs'!$AB$12,"",IF($O12*(1+'Student Loan Inputs'!$B$4)-($F12*12)&gt;0,$O12*(1+'Student Loan Inputs'!$B$4)-($F12*12),"")),"")</f>
        <v>82687.710684013146</v>
      </c>
      <c r="P13" s="12" t="str">
        <f ca="1">IFERROR(IF($B13="","",IF(($P12*(1+'Student Loan Inputs'!$B$4)-$G12*12)&lt;0,"",IF($P12*(1+'Student Loan Inputs'!$B$4)-$G12*12&gt;0,$P12*(1+'Student Loan Inputs'!$B$4)-$G12*12,""))),"")</f>
        <v/>
      </c>
      <c r="Q13" s="12" t="str">
        <f ca="1">IFERROR(IF($B13="","",IF(($M13*'Student Loan Inputs'!$B$4-$D13*12)&lt;0,0,($M13*'Student Loan Inputs'!$B$4-$D13*12)/2)),"")</f>
        <v/>
      </c>
      <c r="R13" s="12" t="str">
        <f ca="1">IFERROR(IF($B13="","",IF(($N13*'Student Loan Inputs'!$B$4-$E13*12)&lt;0,0,$N13*'Student Loan Inputs'!$B$4-$E13*12)),"")</f>
        <v/>
      </c>
      <c r="S13" s="12">
        <f ca="1">IFERROR(IF($B13+5&gt;'Student Loan Inputs'!$AB$12,"",IF(($O13*'Student Loan Inputs'!$B$4-$F13*12)&lt;0,0,$O13*'Student Loan Inputs'!$B$4-$F13*12)),"")</f>
        <v>0</v>
      </c>
      <c r="T13" s="12" t="str">
        <f ca="1">IFERROR(IF($B13="","",IF(($P13*'Student Loan Inputs'!$B$4-$G13*12)&lt;0,0,$P13*'Student Loan Inputs'!$B$4-$G13*12)),"")</f>
        <v/>
      </c>
      <c r="U13" s="4">
        <f t="shared" ca="1" si="7"/>
        <v>0</v>
      </c>
      <c r="V13" s="4">
        <f t="shared" ca="1" si="3"/>
        <v>0</v>
      </c>
      <c r="W13" s="4">
        <f t="shared" ca="1" si="4"/>
        <v>21827.880369919996</v>
      </c>
      <c r="X13" s="4">
        <f t="shared" ca="1" si="5"/>
        <v>0</v>
      </c>
      <c r="Y13" s="4">
        <f ca="1">MIN(IF($B13&lt;'Student Loan Inputs'!$AF$12,Simulation!U13,0),IF(OR($X13=0,U13&gt;X13),U13,$X13))</f>
        <v>0</v>
      </c>
      <c r="Z13" s="4">
        <f ca="1">MIN(IF($B13&lt;'Student Loan Inputs'!$AF$12,Simulation!V13,0),IF(OR($X13=0,V13&gt;X13),V13,$X13))</f>
        <v>0</v>
      </c>
      <c r="AA13" s="4">
        <f ca="1">MIN(IF($B13&lt;'Student Loan Inputs'!$AF$12,Simulation!W13,0),IF(OR($X13=0,W13&gt;X13),W13,$X13))</f>
        <v>0</v>
      </c>
      <c r="AB13" s="4">
        <f ca="1">IF($B13&lt;'Student Loan Inputs'!$AF$12,Simulation!X13,0)</f>
        <v>0</v>
      </c>
      <c r="AC13" s="29">
        <f t="shared" ca="1" si="6"/>
        <v>0</v>
      </c>
      <c r="AD13" s="29">
        <f t="shared" ca="1" si="0"/>
        <v>0</v>
      </c>
      <c r="AE13" s="29">
        <f t="shared" ca="1" si="0"/>
        <v>0</v>
      </c>
      <c r="AF13" s="29">
        <f t="shared" ca="1" si="0"/>
        <v>0</v>
      </c>
    </row>
    <row r="14" spans="1:42" x14ac:dyDescent="0.35">
      <c r="A14" s="13">
        <v>12</v>
      </c>
      <c r="B14" s="13">
        <f ca="1">IF(($B$2+$A14)&gt;'Student Loan Inputs'!$AB$12,"",($B$2+$A14))</f>
        <v>2028</v>
      </c>
      <c r="C14" s="13" t="str">
        <f ca="1">IF($B14="","",IF(B14&gt;='Student Loan Inputs'!$D$7,"Yes","No"))</f>
        <v>Yes</v>
      </c>
      <c r="D14" s="12">
        <f t="shared" ca="1" si="1"/>
        <v>4469.1013925848647</v>
      </c>
      <c r="E14" s="12">
        <f t="shared" ca="1" si="2"/>
        <v>2855.0169480895997</v>
      </c>
      <c r="F14" s="12">
        <f ca="1">IFERROR(IF($B14+5&gt;'Student Loan Inputs'!$AB$12,"",IF(G14&gt;J14*0.1/12,IF(O14=0,0,J14*0.1/12),G14)),"")</f>
        <v>1903.3446320597332</v>
      </c>
      <c r="G14" s="12">
        <f ca="1">IF($B14="","",IF(P14=0,0,'Student Loan Inputs'!$A$7))</f>
        <v>3000</v>
      </c>
      <c r="H14" s="3">
        <f ca="1">IF($B14="","",$L14-'Student Loan Inputs'!$AC$12*1.5)</f>
        <v>536292.16711018374</v>
      </c>
      <c r="I14" s="3">
        <f ca="1">IF($B14="","",$K14-'Student Loan Inputs'!$AC$12*1.5)</f>
        <v>228401.35584716796</v>
      </c>
      <c r="J14" s="3">
        <f ca="1">IFERROR(IF($B14+5&gt;'Student Loan Inputs'!$AB$12,"",$K14-'Student Loan Inputs'!$AC$12*1.5),"")</f>
        <v>228401.35584716796</v>
      </c>
      <c r="K14" s="3">
        <f ca="1">IF($B14="","",IF($A14&lt;='Student Loan Inputs'!$E$4,'Student Loan Inputs'!$C$4*((1+'Student Loan Inputs'!$AE$12)^$A14),Simulation!$K13*((1+'Student Loan Inputs'!$F$4))))</f>
        <v>263186.35584716796</v>
      </c>
      <c r="L14" s="12">
        <f ca="1">IF($B14="","",IF($C14="No",$K14,$K14+'Student Loan Inputs'!$E$7)+IF($C13="Yes",IF($B14&lt;=('Student Loan Inputs'!$D$7+'Student Loan Inputs'!$G$7),('Student Loan Inputs'!$E$7*(1+'Student Loan Inputs'!$AD$12)^($B14-'Student Loan Inputs'!$D$7))-'Student Loan Inputs'!$E$7,((1+'Student Loan Inputs'!$F$4)^(Simulation!$B14-('Student Loan Inputs'!$D$7+'Student Loan Inputs'!$G$7)))*('Student Loan Inputs'!$E$7*((1+'Student Loan Inputs'!$AD$12)^'Student Loan Inputs'!$G$7))-'Student Loan Inputs'!$E$7),0))</f>
        <v>571077.16711018374</v>
      </c>
      <c r="M14" s="12" t="str">
        <f ca="1">IFERROR(IF($B14="","",IF($M13*'Student Loan Inputs'!$B$4&gt;=Simulation!$D13*12,$M13+$Q13,IF($M13*(1+'Student Loan Inputs'!$B$4)-$D13*12&gt;0,$M13*(1+'Student Loan Inputs'!$B$4)-$D13*12,""))),"")</f>
        <v/>
      </c>
      <c r="N14" s="12" t="str">
        <f ca="1">IFERROR(IF($B14="","",IF($N13*(1+'Student Loan Inputs'!$B$4)-($E13*12)&gt;0,$N13*(1+'Student Loan Inputs'!$B$4)-($E13*12),"")),"")</f>
        <v/>
      </c>
      <c r="O14" s="12">
        <f ca="1">IFERROR(IF($B14+5&gt;'Student Loan Inputs'!$AB$12,"",IF($O13*(1+'Student Loan Inputs'!$B$4)-($F13*12)&gt;0,$O13*(1+'Student Loan Inputs'!$B$4)-($F13*12),"")),"")</f>
        <v>66482.594640606054</v>
      </c>
      <c r="P14" s="12" t="str">
        <f ca="1">IFERROR(IF($B14="","",IF(($P13*(1+'Student Loan Inputs'!$B$4)-$G13*12)&lt;0,"",IF($P13*(1+'Student Loan Inputs'!$B$4)-$G13*12&gt;0,$P13*(1+'Student Loan Inputs'!$B$4)-$G13*12,""))),"")</f>
        <v/>
      </c>
      <c r="Q14" s="12" t="str">
        <f ca="1">IFERROR(IF($B14="","",IF(($M14*'Student Loan Inputs'!$B$4-$D14*12)&lt;0,0,($M14*'Student Loan Inputs'!$B$4-$D14*12)/2)),"")</f>
        <v/>
      </c>
      <c r="R14" s="12" t="str">
        <f ca="1">IFERROR(IF($B14="","",IF(($N14*'Student Loan Inputs'!$B$4-$E14*12)&lt;0,0,$N14*'Student Loan Inputs'!$B$4-$E14*12)),"")</f>
        <v/>
      </c>
      <c r="S14" s="12">
        <f ca="1">IFERROR(IF($B14+5&gt;'Student Loan Inputs'!$AB$12,"",IF(($O14*'Student Loan Inputs'!$B$4-$F14*12)&lt;0,0,$O14*'Student Loan Inputs'!$B$4-$F14*12)),"")</f>
        <v>0</v>
      </c>
      <c r="T14" s="12" t="str">
        <f ca="1">IFERROR(IF($B14="","",IF(($P14*'Student Loan Inputs'!$B$4-$G14*12)&lt;0,0,$P14*'Student Loan Inputs'!$B$4-$G14*12)),"")</f>
        <v/>
      </c>
      <c r="U14" s="4">
        <f t="shared" ca="1" si="7"/>
        <v>0</v>
      </c>
      <c r="V14" s="4">
        <f t="shared" ca="1" si="3"/>
        <v>0</v>
      </c>
      <c r="W14" s="4">
        <f t="shared" ca="1" si="4"/>
        <v>22840.135584716798</v>
      </c>
      <c r="X14" s="4">
        <f t="shared" ca="1" si="5"/>
        <v>0</v>
      </c>
      <c r="Y14" s="4">
        <f ca="1">MIN(IF($B14&lt;'Student Loan Inputs'!$AF$12,Simulation!U14,0),IF(OR($X14=0,U14&gt;X14),U14,$X14))</f>
        <v>0</v>
      </c>
      <c r="Z14" s="4">
        <f ca="1">MIN(IF($B14&lt;'Student Loan Inputs'!$AF$12,Simulation!V14,0),IF(OR($X14=0,V14&gt;X14),V14,$X14))</f>
        <v>0</v>
      </c>
      <c r="AA14" s="4">
        <f ca="1">MIN(IF($B14&lt;'Student Loan Inputs'!$AF$12,Simulation!W14,0),IF(OR($X14=0,W14&gt;X14),W14,$X14))</f>
        <v>0</v>
      </c>
      <c r="AB14" s="4">
        <f ca="1">IF($B14&lt;'Student Loan Inputs'!$AF$12,Simulation!X14,0)</f>
        <v>0</v>
      </c>
      <c r="AC14" s="29">
        <f t="shared" ca="1" si="6"/>
        <v>0</v>
      </c>
      <c r="AD14" s="29">
        <f t="shared" ca="1" si="0"/>
        <v>0</v>
      </c>
      <c r="AE14" s="29">
        <f t="shared" ca="1" si="0"/>
        <v>0</v>
      </c>
      <c r="AF14" s="29">
        <f t="shared" ca="1" si="0"/>
        <v>0</v>
      </c>
    </row>
    <row r="15" spans="1:42" x14ac:dyDescent="0.35">
      <c r="A15" s="13">
        <v>13</v>
      </c>
      <c r="B15" s="13">
        <f ca="1">IF(($B$2+$A15)&gt;'Student Loan Inputs'!$AB$12,"",($B$2+$A15))</f>
        <v>2029</v>
      </c>
      <c r="C15" s="13" t="str">
        <f ca="1">IF($B15="","",IF(B15&gt;='Student Loan Inputs'!$D$7,"Yes","No"))</f>
        <v>Yes</v>
      </c>
      <c r="D15" s="12">
        <f t="shared" ca="1" si="1"/>
        <v>4659.4604482882596</v>
      </c>
      <c r="E15" s="12">
        <f t="shared" ca="1" si="2"/>
        <v>2986.6101260131836</v>
      </c>
      <c r="F15" s="12">
        <f ca="1">IFERROR(IF($B15+5&gt;'Student Loan Inputs'!$AB$12,"",IF(G15&gt;J15*0.1/12,IF(O15=0,0,J15*0.1/12),G15)),"")</f>
        <v>1991.0734173421224</v>
      </c>
      <c r="G15" s="12">
        <f ca="1">IF($B15="","",IF(P15=0,0,'Student Loan Inputs'!$A$7))</f>
        <v>3000</v>
      </c>
      <c r="H15" s="3">
        <f ca="1">IF($B15="","",$L15-'Student Loan Inputs'!$AC$12*1.5)</f>
        <v>559135.25379459118</v>
      </c>
      <c r="I15" s="3">
        <f ca="1">IF($B15="","",$K15-'Student Loan Inputs'!$AC$12*1.5)</f>
        <v>238928.81008105469</v>
      </c>
      <c r="J15" s="3">
        <f ca="1">IFERROR(IF($B15+5&gt;'Student Loan Inputs'!$AB$12,"",$K15-'Student Loan Inputs'!$AC$12*1.5),"")</f>
        <v>238928.81008105469</v>
      </c>
      <c r="K15" s="3">
        <f ca="1">IF($B15="","",IF($A15&lt;='Student Loan Inputs'!$E$4,'Student Loan Inputs'!$C$4*((1+'Student Loan Inputs'!$AE$12)^$A15),Simulation!$K14*((1+'Student Loan Inputs'!$F$4))))</f>
        <v>273713.81008105469</v>
      </c>
      <c r="L15" s="12">
        <f ca="1">IF($B15="","",IF($C15="No",$K15,$K15+'Student Loan Inputs'!$E$7)+IF($C14="Yes",IF($B15&lt;=('Student Loan Inputs'!$D$7+'Student Loan Inputs'!$G$7),('Student Loan Inputs'!$E$7*(1+'Student Loan Inputs'!$AD$12)^($B15-'Student Loan Inputs'!$D$7))-'Student Loan Inputs'!$E$7,((1+'Student Loan Inputs'!$F$4)^(Simulation!$B15-('Student Loan Inputs'!$D$7+'Student Loan Inputs'!$G$7)))*('Student Loan Inputs'!$E$7*((1+'Student Loan Inputs'!$AD$12)^'Student Loan Inputs'!$G$7))-'Student Loan Inputs'!$E$7),0))</f>
        <v>593920.25379459118</v>
      </c>
      <c r="M15" s="12" t="str">
        <f ca="1">IFERROR(IF($B15="","",IF($M14*'Student Loan Inputs'!$B$4&gt;=Simulation!$D14*12,$M14+$Q14,IF($M14*(1+'Student Loan Inputs'!$B$4)-$D14*12&gt;0,$M14*(1+'Student Loan Inputs'!$B$4)-$D14*12,""))),"")</f>
        <v/>
      </c>
      <c r="N15" s="12" t="str">
        <f ca="1">IFERROR(IF($B15="","",IF($N14*(1+'Student Loan Inputs'!$B$4)-($E14*12)&gt;0,$N14*(1+'Student Loan Inputs'!$B$4)-($E14*12),"")),"")</f>
        <v/>
      </c>
      <c r="O15" s="12">
        <f ca="1">IFERROR(IF($B15+5&gt;'Student Loan Inputs'!$AB$12,"",IF($O14*(1+'Student Loan Inputs'!$B$4)-($F14*12)&gt;0,$O14*(1+'Student Loan Inputs'!$B$4)-($F14*12),"")),"")</f>
        <v>48163.275491450462</v>
      </c>
      <c r="P15" s="12" t="str">
        <f ca="1">IFERROR(IF($B15="","",IF(($P14*(1+'Student Loan Inputs'!$B$4)-$G14*12)&lt;0,"",IF($P14*(1+'Student Loan Inputs'!$B$4)-$G14*12&gt;0,$P14*(1+'Student Loan Inputs'!$B$4)-$G14*12,""))),"")</f>
        <v/>
      </c>
      <c r="Q15" s="12" t="str">
        <f ca="1">IFERROR(IF($B15="","",IF(($M15*'Student Loan Inputs'!$B$4-$D15*12)&lt;0,0,($M15*'Student Loan Inputs'!$B$4-$D15*12)/2)),"")</f>
        <v/>
      </c>
      <c r="R15" s="12" t="str">
        <f ca="1">IFERROR(IF($B15="","",IF(($N15*'Student Loan Inputs'!$B$4-$E15*12)&lt;0,0,$N15*'Student Loan Inputs'!$B$4-$E15*12)),"")</f>
        <v/>
      </c>
      <c r="S15" s="12">
        <f ca="1">IFERROR(IF($B15+5&gt;'Student Loan Inputs'!$AB$12,"",IF(($O15*'Student Loan Inputs'!$B$4-$F15*12)&lt;0,0,$O15*'Student Loan Inputs'!$B$4-$F15*12)),"")</f>
        <v>0</v>
      </c>
      <c r="T15" s="12" t="str">
        <f ca="1">IFERROR(IF($B15="","",IF(($P15*'Student Loan Inputs'!$B$4-$G15*12)&lt;0,0,$P15*'Student Loan Inputs'!$B$4-$G15*12)),"")</f>
        <v/>
      </c>
      <c r="U15" s="4">
        <f t="shared" ca="1" si="7"/>
        <v>0</v>
      </c>
      <c r="V15" s="4">
        <f t="shared" ca="1" si="3"/>
        <v>0</v>
      </c>
      <c r="W15" s="4">
        <f t="shared" ca="1" si="4"/>
        <v>23892.881008105469</v>
      </c>
      <c r="X15" s="4">
        <f t="shared" ca="1" si="5"/>
        <v>0</v>
      </c>
      <c r="Y15" s="4">
        <f ca="1">MIN(IF($B15&lt;'Student Loan Inputs'!$AF$12,Simulation!U15,0),IF(OR($X15=0,U15&gt;X15),U15,$X15))</f>
        <v>0</v>
      </c>
      <c r="Z15" s="4">
        <f ca="1">MIN(IF($B15&lt;'Student Loan Inputs'!$AF$12,Simulation!V15,0),IF(OR($X15=0,V15&gt;X15),V15,$X15))</f>
        <v>0</v>
      </c>
      <c r="AA15" s="4">
        <f ca="1">MIN(IF($B15&lt;'Student Loan Inputs'!$AF$12,Simulation!W15,0),IF(OR($X15=0,W15&gt;X15),W15,$X15))</f>
        <v>0</v>
      </c>
      <c r="AB15" s="4">
        <f ca="1">IF($B15&lt;'Student Loan Inputs'!$AF$12,Simulation!X15,0)</f>
        <v>0</v>
      </c>
      <c r="AC15" s="29">
        <f t="shared" ca="1" si="6"/>
        <v>0</v>
      </c>
      <c r="AD15" s="29">
        <f t="shared" ca="1" si="0"/>
        <v>0</v>
      </c>
      <c r="AE15" s="29">
        <f t="shared" ca="1" si="0"/>
        <v>0</v>
      </c>
      <c r="AF15" s="29">
        <f t="shared" ca="1" si="0"/>
        <v>0</v>
      </c>
    </row>
    <row r="16" spans="1:42" x14ac:dyDescent="0.35">
      <c r="A16" s="13">
        <v>14</v>
      </c>
      <c r="B16" s="13">
        <f ca="1">IF(($B$2+$A16)&gt;'Student Loan Inputs'!$AB$12,"",($B$2+$A16))</f>
        <v>2030</v>
      </c>
      <c r="C16" s="13" t="str">
        <f ca="1">IF($B16="","",IF(B16&gt;='Student Loan Inputs'!$D$7,"Yes","No"))</f>
        <v>Yes</v>
      </c>
      <c r="D16" s="12">
        <f t="shared" ca="1" si="1"/>
        <v>4857.4338662197906</v>
      </c>
      <c r="E16" s="12">
        <f t="shared" ca="1" si="2"/>
        <v>3000</v>
      </c>
      <c r="F16" s="12">
        <f ca="1">IFERROR(IF($B16+5&gt;'Student Loan Inputs'!$AB$12,"",IF(G16&gt;J16*0.1/12,IF(O16=0,0,J16*0.1/12),G16)),"")</f>
        <v>2082.3113540358077</v>
      </c>
      <c r="G16" s="12">
        <f ca="1">IF($B16="","",IF(P16=0,0,'Student Loan Inputs'!$A$7))</f>
        <v>3000</v>
      </c>
      <c r="H16" s="3">
        <f ca="1">IF($B16="","",$L16-'Student Loan Inputs'!$AC$12*1.5)</f>
        <v>582892.06394637481</v>
      </c>
      <c r="I16" s="3">
        <f ca="1">IF($B16="","",$K16-'Student Loan Inputs'!$AC$12*1.5)</f>
        <v>249877.3624842969</v>
      </c>
      <c r="J16" s="3">
        <f ca="1">IFERROR(IF($B16+5&gt;'Student Loan Inputs'!$AB$12,"",$K16-'Student Loan Inputs'!$AC$12*1.5),"")</f>
        <v>249877.3624842969</v>
      </c>
      <c r="K16" s="3">
        <f ca="1">IF($B16="","",IF($A16&lt;='Student Loan Inputs'!$E$4,'Student Loan Inputs'!$C$4*((1+'Student Loan Inputs'!$AE$12)^$A16),Simulation!$K15*((1+'Student Loan Inputs'!$F$4))))</f>
        <v>284662.3624842969</v>
      </c>
      <c r="L16" s="12">
        <f ca="1">IF($B16="","",IF($C16="No",$K16,$K16+'Student Loan Inputs'!$E$7)+IF($C15="Yes",IF($B16&lt;=('Student Loan Inputs'!$D$7+'Student Loan Inputs'!$G$7),('Student Loan Inputs'!$E$7*(1+'Student Loan Inputs'!$AD$12)^($B16-'Student Loan Inputs'!$D$7))-'Student Loan Inputs'!$E$7,((1+'Student Loan Inputs'!$F$4)^(Simulation!$B16-('Student Loan Inputs'!$D$7+'Student Loan Inputs'!$G$7)))*('Student Loan Inputs'!$E$7*((1+'Student Loan Inputs'!$AD$12)^'Student Loan Inputs'!$G$7))-'Student Loan Inputs'!$E$7),0))</f>
        <v>617677.06394637481</v>
      </c>
      <c r="M16" s="12" t="str">
        <f ca="1">IFERROR(IF($B16="","",IF($M15*'Student Loan Inputs'!$B$4&gt;=Simulation!$D15*12,$M15+$Q15,IF($M15*(1+'Student Loan Inputs'!$B$4)-$D15*12&gt;0,$M15*(1+'Student Loan Inputs'!$B$4)-$D15*12,""))),"")</f>
        <v/>
      </c>
      <c r="N16" s="12" t="str">
        <f ca="1">IFERROR(IF($B16="","",IF($N15*(1+'Student Loan Inputs'!$B$4)-($E15*12)&gt;0,$N15*(1+'Student Loan Inputs'!$B$4)-($E15*12),"")),"")</f>
        <v/>
      </c>
      <c r="O16" s="12">
        <f ca="1">IFERROR(IF($B16+5&gt;'Student Loan Inputs'!$AB$12,"",IF($O15*(1+'Student Loan Inputs'!$B$4)-($F15*12)&gt;0,$O15*(1+'Student Loan Inputs'!$B$4)-($F15*12),"")),"")</f>
        <v>27545.49721676363</v>
      </c>
      <c r="P16" s="12" t="str">
        <f ca="1">IFERROR(IF($B16="","",IF(($P15*(1+'Student Loan Inputs'!$B$4)-$G15*12)&lt;0,"",IF($P15*(1+'Student Loan Inputs'!$B$4)-$G15*12&gt;0,$P15*(1+'Student Loan Inputs'!$B$4)-$G15*12,""))),"")</f>
        <v/>
      </c>
      <c r="Q16" s="12" t="str">
        <f ca="1">IFERROR(IF($B16="","",IF(($M16*'Student Loan Inputs'!$B$4-$D16*12)&lt;0,0,($M16*'Student Loan Inputs'!$B$4-$D16*12)/2)),"")</f>
        <v/>
      </c>
      <c r="R16" s="12" t="str">
        <f ca="1">IFERROR(IF($B16="","",IF(($N16*'Student Loan Inputs'!$B$4-$E16*12)&lt;0,0,$N16*'Student Loan Inputs'!$B$4-$E16*12)),"")</f>
        <v/>
      </c>
      <c r="S16" s="12">
        <f ca="1">IFERROR(IF($B16+5&gt;'Student Loan Inputs'!$AB$12,"",IF(($O16*'Student Loan Inputs'!$B$4-$F16*12)&lt;0,0,$O16*'Student Loan Inputs'!$B$4-$F16*12)),"")</f>
        <v>0</v>
      </c>
      <c r="T16" s="12" t="str">
        <f ca="1">IFERROR(IF($B16="","",IF(($P16*'Student Loan Inputs'!$B$4-$G16*12)&lt;0,0,$P16*'Student Loan Inputs'!$B$4-$G16*12)),"")</f>
        <v/>
      </c>
      <c r="U16" s="4">
        <f t="shared" ca="1" si="7"/>
        <v>0</v>
      </c>
      <c r="V16" s="4">
        <f t="shared" ca="1" si="3"/>
        <v>0</v>
      </c>
      <c r="W16" s="4">
        <f t="shared" ca="1" si="4"/>
        <v>24987.73624842969</v>
      </c>
      <c r="X16" s="4">
        <f t="shared" ca="1" si="5"/>
        <v>0</v>
      </c>
      <c r="Y16" s="4">
        <f ca="1">MIN(IF($B16&lt;'Student Loan Inputs'!$AF$12,Simulation!U16,0),IF(OR($X16=0,U16&gt;X16),U16,$X16))</f>
        <v>0</v>
      </c>
      <c r="Z16" s="4">
        <f ca="1">MIN(IF($B16&lt;'Student Loan Inputs'!$AF$12,Simulation!V16,0),IF(OR($X16=0,V16&gt;X16),V16,$X16))</f>
        <v>0</v>
      </c>
      <c r="AA16" s="4">
        <f ca="1">MIN(IF($B16&lt;'Student Loan Inputs'!$AF$12,Simulation!W16,0),IF(OR($X16=0,W16&gt;X16),W16,$X16))</f>
        <v>0</v>
      </c>
      <c r="AB16" s="4">
        <f ca="1">IF($B16&lt;'Student Loan Inputs'!$AF$12,Simulation!X16,0)</f>
        <v>0</v>
      </c>
      <c r="AC16" s="29">
        <f t="shared" ca="1" si="6"/>
        <v>0</v>
      </c>
      <c r="AD16" s="29">
        <f t="shared" ca="1" si="0"/>
        <v>0</v>
      </c>
      <c r="AE16" s="29">
        <f t="shared" ca="1" si="0"/>
        <v>0</v>
      </c>
      <c r="AF16" s="29">
        <f t="shared" ca="1" si="0"/>
        <v>0</v>
      </c>
    </row>
    <row r="17" spans="1:33" x14ac:dyDescent="0.35">
      <c r="A17" s="13">
        <v>15</v>
      </c>
      <c r="B17" s="13">
        <f ca="1">IF(($B$2+$A17)&gt;'Student Loan Inputs'!$AB$12,"",($B$2+$A17))</f>
        <v>2031</v>
      </c>
      <c r="C17" s="13" t="str">
        <f ca="1">IF($B17="","",IF(B17&gt;='Student Loan Inputs'!$D$7,"Yes","No"))</f>
        <v>Yes</v>
      </c>
      <c r="D17" s="12">
        <f t="shared" ca="1" si="1"/>
        <v>5063.3262208685819</v>
      </c>
      <c r="E17" s="12">
        <f t="shared" ca="1" si="2"/>
        <v>3000</v>
      </c>
      <c r="F17" s="12">
        <f ca="1">IFERROR(IF($B17+5&gt;'Student Loan Inputs'!$AB$12,"",IF(G17&gt;J17*0.1/12,IF(O17=0,0,J17*0.1/12),G17)),"")</f>
        <v>2177.1988081972399</v>
      </c>
      <c r="G17" s="12">
        <f ca="1">IF($B17="","",IF(P17=0,0,'Student Loan Inputs'!$A$7))</f>
        <v>3000</v>
      </c>
      <c r="H17" s="3">
        <f ca="1">IF($B17="","",$L17-'Student Loan Inputs'!$AC$12*1.5)</f>
        <v>607599.14650422987</v>
      </c>
      <c r="I17" s="3">
        <f ca="1">IF($B17="","",$K17-'Student Loan Inputs'!$AC$12*1.5)</f>
        <v>261263.85698366881</v>
      </c>
      <c r="J17" s="3">
        <f ca="1">IFERROR(IF($B17+5&gt;'Student Loan Inputs'!$AB$12,"",$K17-'Student Loan Inputs'!$AC$12*1.5),"")</f>
        <v>261263.85698366881</v>
      </c>
      <c r="K17" s="3">
        <f ca="1">IF($B17="","",IF($A17&lt;='Student Loan Inputs'!$E$4,'Student Loan Inputs'!$C$4*((1+'Student Loan Inputs'!$AE$12)^$A17),Simulation!$K16*((1+'Student Loan Inputs'!$F$4))))</f>
        <v>296048.85698366881</v>
      </c>
      <c r="L17" s="12">
        <f ca="1">IF($B17="","",IF($C17="No",$K17,$K17+'Student Loan Inputs'!$E$7)+IF($C16="Yes",IF($B17&lt;=('Student Loan Inputs'!$D$7+'Student Loan Inputs'!$G$7),('Student Loan Inputs'!$E$7*(1+'Student Loan Inputs'!$AD$12)^($B17-'Student Loan Inputs'!$D$7))-'Student Loan Inputs'!$E$7,((1+'Student Loan Inputs'!$F$4)^(Simulation!$B17-('Student Loan Inputs'!$D$7+'Student Loan Inputs'!$G$7)))*('Student Loan Inputs'!$E$7*((1+'Student Loan Inputs'!$AD$12)^'Student Loan Inputs'!$G$7))-'Student Loan Inputs'!$E$7),0))</f>
        <v>642384.14650422987</v>
      </c>
      <c r="M17" s="12" t="str">
        <f ca="1">IFERROR(IF($B17="","",IF($M16*'Student Loan Inputs'!$B$4&gt;=Simulation!$D16*12,$M16+$Q16,IF($M16*(1+'Student Loan Inputs'!$B$4)-$D16*12&gt;0,$M16*(1+'Student Loan Inputs'!$B$4)-$D16*12,""))),"")</f>
        <v/>
      </c>
      <c r="N17" s="12" t="str">
        <f ca="1">IFERROR(IF($B17="","",IF($N16*(1+'Student Loan Inputs'!$B$4)-($E16*12)&gt;0,$N16*(1+'Student Loan Inputs'!$B$4)-($E16*12),"")),"")</f>
        <v/>
      </c>
      <c r="O17" s="12">
        <f ca="1">IFERROR(IF($B17+5&gt;'Student Loan Inputs'!$AB$12,"",IF($O16*(1+'Student Loan Inputs'!$B$4)-($F16*12)&gt;0,$O16*(1+'Student Loan Inputs'!$B$4)-($F16*12),"")),"")</f>
        <v>4430.8547790738667</v>
      </c>
      <c r="P17" s="12" t="str">
        <f ca="1">IFERROR(IF($B17="","",IF(($P16*(1+'Student Loan Inputs'!$B$4)-$G16*12)&lt;0,"",IF($P16*(1+'Student Loan Inputs'!$B$4)-$G16*12&gt;0,$P16*(1+'Student Loan Inputs'!$B$4)-$G16*12,""))),"")</f>
        <v/>
      </c>
      <c r="Q17" s="12" t="str">
        <f ca="1">IFERROR(IF($B17="","",IF(($M17*'Student Loan Inputs'!$B$4-$D17*12)&lt;0,0,($M17*'Student Loan Inputs'!$B$4-$D17*12)/2)),"")</f>
        <v/>
      </c>
      <c r="R17" s="12" t="str">
        <f ca="1">IFERROR(IF($B17="","",IF(($N17*'Student Loan Inputs'!$B$4-$E17*12)&lt;0,0,$N17*'Student Loan Inputs'!$B$4-$E17*12)),"")</f>
        <v/>
      </c>
      <c r="S17" s="12">
        <f ca="1">IFERROR(IF($B17+5&gt;'Student Loan Inputs'!$AB$12,"",IF(($O17*'Student Loan Inputs'!$B$4-$F17*12)&lt;0,0,$O17*'Student Loan Inputs'!$B$4-$F17*12)),"")</f>
        <v>0</v>
      </c>
      <c r="T17" s="12" t="str">
        <f ca="1">IFERROR(IF($B17="","",IF(($P17*'Student Loan Inputs'!$B$4-$G17*12)&lt;0,0,$P17*'Student Loan Inputs'!$B$4-$G17*12)),"")</f>
        <v/>
      </c>
      <c r="U17" s="4">
        <f t="shared" ca="1" si="7"/>
        <v>0</v>
      </c>
      <c r="V17" s="4">
        <f t="shared" ca="1" si="3"/>
        <v>0</v>
      </c>
      <c r="W17" s="4">
        <f t="shared" ca="1" si="4"/>
        <v>4430.8547790738667</v>
      </c>
      <c r="X17" s="4">
        <f t="shared" ca="1" si="5"/>
        <v>0</v>
      </c>
      <c r="Y17" s="4">
        <f ca="1">MIN(IF($B17&lt;'Student Loan Inputs'!$AF$12,Simulation!U17,0),IF(OR($X17=0,U17&gt;X17),U17,$X17))</f>
        <v>0</v>
      </c>
      <c r="Z17" s="4">
        <f ca="1">MIN(IF($B17&lt;'Student Loan Inputs'!$AF$12,Simulation!V17,0),IF(OR($X17=0,V17&gt;X17),V17,$X17))</f>
        <v>0</v>
      </c>
      <c r="AA17" s="4">
        <f ca="1">MIN(IF($B17&lt;'Student Loan Inputs'!$AF$12,Simulation!W17,0),IF(OR($X17=0,W17&gt;X17),W17,$X17))</f>
        <v>0</v>
      </c>
      <c r="AB17" s="4">
        <f ca="1">IF($B17&lt;'Student Loan Inputs'!$AF$12,Simulation!X17,0)</f>
        <v>0</v>
      </c>
      <c r="AC17" s="29">
        <f t="shared" ca="1" si="6"/>
        <v>0</v>
      </c>
      <c r="AD17" s="29">
        <f t="shared" ca="1" si="0"/>
        <v>0</v>
      </c>
      <c r="AE17" s="29">
        <f t="shared" ca="1" si="0"/>
        <v>1</v>
      </c>
      <c r="AF17" s="29">
        <f t="shared" ca="1" si="0"/>
        <v>0</v>
      </c>
    </row>
    <row r="18" spans="1:33" x14ac:dyDescent="0.35">
      <c r="A18" s="13">
        <v>16</v>
      </c>
      <c r="B18" s="13">
        <f ca="1">IF(($B$2+$A18)&gt;'Student Loan Inputs'!$AB$12,"",($B$2+$A18))</f>
        <v>2032</v>
      </c>
      <c r="C18" s="13" t="str">
        <f ca="1">IF($B18="","",IF(B18&gt;='Student Loan Inputs'!$D$7,"Yes","No"))</f>
        <v>Yes</v>
      </c>
      <c r="D18" s="12">
        <f t="shared" ca="1" si="1"/>
        <v>5277.4542697033248</v>
      </c>
      <c r="E18" s="12">
        <f t="shared" ca="1" si="2"/>
        <v>3000</v>
      </c>
      <c r="F18" s="12">
        <f ca="1">IFERROR(IF($B18+5&gt;'Student Loan Inputs'!$AB$12,"",IF(G18&gt;J18*0.1/12,IF(O18=0,0,J18*0.1/12),G18)),"")</f>
        <v>2275.8817605251297</v>
      </c>
      <c r="G18" s="12">
        <f ca="1">IF($B18="","",IF(P18=0,0,'Student Loan Inputs'!$A$7))</f>
        <v>3000</v>
      </c>
      <c r="H18" s="3">
        <f ca="1">IF($B18="","",$L18-'Student Loan Inputs'!$AC$12*1.5)</f>
        <v>633294.51236439892</v>
      </c>
      <c r="I18" s="3">
        <f ca="1">IF($B18="","",$K18-'Student Loan Inputs'!$AC$12*1.5)</f>
        <v>273105.81126301555</v>
      </c>
      <c r="J18" s="3">
        <f ca="1">IFERROR(IF($B18+5&gt;'Student Loan Inputs'!$AB$12,"",$K18-'Student Loan Inputs'!$AC$12*1.5),"")</f>
        <v>273105.81126301555</v>
      </c>
      <c r="K18" s="3">
        <f ca="1">IF($B18="","",IF($A18&lt;='Student Loan Inputs'!$E$4,'Student Loan Inputs'!$C$4*((1+'Student Loan Inputs'!$AE$12)^$A18),Simulation!$K17*((1+'Student Loan Inputs'!$F$4))))</f>
        <v>307890.81126301555</v>
      </c>
      <c r="L18" s="12">
        <f ca="1">IF($B18="","",IF($C18="No",$K18,$K18+'Student Loan Inputs'!$E$7)+IF($C17="Yes",IF($B18&lt;=('Student Loan Inputs'!$D$7+'Student Loan Inputs'!$G$7),('Student Loan Inputs'!$E$7*(1+'Student Loan Inputs'!$AD$12)^($B18-'Student Loan Inputs'!$D$7))-'Student Loan Inputs'!$E$7,((1+'Student Loan Inputs'!$F$4)^(Simulation!$B18-('Student Loan Inputs'!$D$7+'Student Loan Inputs'!$G$7)))*('Student Loan Inputs'!$E$7*((1+'Student Loan Inputs'!$AD$12)^'Student Loan Inputs'!$G$7))-'Student Loan Inputs'!$E$7),0))</f>
        <v>668079.51236439892</v>
      </c>
      <c r="M18" s="12" t="str">
        <f ca="1">IFERROR(IF($B18="","",IF($M17*'Student Loan Inputs'!$B$4&gt;=Simulation!$D17*12,$M17+$Q17,IF($M17*(1+'Student Loan Inputs'!$B$4)-$D17*12&gt;0,$M17*(1+'Student Loan Inputs'!$B$4)-$D17*12,""))),"")</f>
        <v/>
      </c>
      <c r="N18" s="12" t="str">
        <f ca="1">IFERROR(IF($B18="","",IF($N17*(1+'Student Loan Inputs'!$B$4)-($E17*12)&gt;0,$N17*(1+'Student Loan Inputs'!$B$4)-($E17*12),"")),"")</f>
        <v/>
      </c>
      <c r="O18" s="12" t="str">
        <f ca="1">IFERROR(IF($B18+5&gt;'Student Loan Inputs'!$AB$12,"",IF($O17*(1+'Student Loan Inputs'!$B$4)-($F17*12)&gt;0,$O17*(1+'Student Loan Inputs'!$B$4)-($F17*12),"")),"")</f>
        <v/>
      </c>
      <c r="P18" s="12" t="str">
        <f ca="1">IFERROR(IF($B18="","",IF(($P17*(1+'Student Loan Inputs'!$B$4)-$G17*12)&lt;0,"",IF($P17*(1+'Student Loan Inputs'!$B$4)-$G17*12&gt;0,$P17*(1+'Student Loan Inputs'!$B$4)-$G17*12,""))),"")</f>
        <v/>
      </c>
      <c r="Q18" s="12" t="str">
        <f ca="1">IFERROR(IF($B18="","",IF(($M18*'Student Loan Inputs'!$B$4-$D18*12)&lt;0,0,($M18*'Student Loan Inputs'!$B$4-$D18*12)/2)),"")</f>
        <v/>
      </c>
      <c r="R18" s="12" t="str">
        <f ca="1">IFERROR(IF($B18="","",IF(($N18*'Student Loan Inputs'!$B$4-$E18*12)&lt;0,0,$N18*'Student Loan Inputs'!$B$4-$E18*12)),"")</f>
        <v/>
      </c>
      <c r="S18" s="12" t="str">
        <f ca="1">IFERROR(IF($B18+5&gt;'Student Loan Inputs'!$AB$12,"",IF(($O18*'Student Loan Inputs'!$B$4-$F18*12)&lt;0,0,$O18*'Student Loan Inputs'!$B$4-$F18*12)),"")</f>
        <v/>
      </c>
      <c r="T18" s="12" t="str">
        <f ca="1">IFERROR(IF($B18="","",IF(($P18*'Student Loan Inputs'!$B$4-$G18*12)&lt;0,0,$P18*'Student Loan Inputs'!$B$4-$G18*12)),"")</f>
        <v/>
      </c>
      <c r="U18" s="4">
        <f t="shared" ca="1" si="7"/>
        <v>0</v>
      </c>
      <c r="V18" s="4">
        <f t="shared" ca="1" si="3"/>
        <v>0</v>
      </c>
      <c r="W18" s="4">
        <f t="shared" ca="1" si="4"/>
        <v>0</v>
      </c>
      <c r="X18" s="4">
        <f t="shared" ca="1" si="5"/>
        <v>0</v>
      </c>
      <c r="Y18" s="4">
        <f ca="1">MIN(IF($B18&lt;'Student Loan Inputs'!$AF$12,Simulation!U18,0),IF(OR($X18=0,U18&gt;X18),U18,$X18))</f>
        <v>0</v>
      </c>
      <c r="Z18" s="4">
        <f ca="1">MIN(IF($B18&lt;'Student Loan Inputs'!$AF$12,Simulation!V18,0),IF(OR($X18=0,V18&gt;X18),V18,$X18))</f>
        <v>0</v>
      </c>
      <c r="AA18" s="4">
        <f ca="1">MIN(IF($B18&lt;'Student Loan Inputs'!$AF$12,Simulation!W18,0),IF(OR($X18=0,W18&gt;X18),W18,$X18))</f>
        <v>0</v>
      </c>
      <c r="AB18" s="4">
        <f ca="1">IF($B18&lt;'Student Loan Inputs'!$AF$12,Simulation!X18,0)</f>
        <v>0</v>
      </c>
      <c r="AC18" s="29">
        <f t="shared" ca="1" si="6"/>
        <v>0</v>
      </c>
      <c r="AD18" s="29">
        <f t="shared" ref="AD18:AD27" ca="1" si="8">IF(V18=N18,1,0)</f>
        <v>0</v>
      </c>
      <c r="AE18" s="29">
        <f t="shared" ref="AE18:AE27" ca="1" si="9">IF(W18=O18,1,0)</f>
        <v>0</v>
      </c>
      <c r="AF18" s="29">
        <f t="shared" ref="AF18:AF27" ca="1" si="10">IF(X18=P18,1,0)</f>
        <v>0</v>
      </c>
      <c r="AG18" s="4"/>
    </row>
    <row r="19" spans="1:33" x14ac:dyDescent="0.35">
      <c r="A19" s="13">
        <v>17</v>
      </c>
      <c r="B19" s="13">
        <f ca="1">IF(($B$2+$A19)&gt;'Student Loan Inputs'!$AB$12,"",($B$2+$A19))</f>
        <v>2033</v>
      </c>
      <c r="C19" s="13" t="str">
        <f ca="1">IF($B19="","",IF(B19&gt;='Student Loan Inputs'!$D$7,"Yes","No"))</f>
        <v>Yes</v>
      </c>
      <c r="D19" s="12">
        <f t="shared" ca="1" si="1"/>
        <v>5500.1474404914588</v>
      </c>
      <c r="E19" s="12">
        <f t="shared" ca="1" si="2"/>
        <v>3000</v>
      </c>
      <c r="F19" s="12">
        <f ca="1">IFERROR(IF($B19+5&gt;'Student Loan Inputs'!$AB$12,"",IF(G19&gt;J19*0.1/12,IF(O19=0,0,J19*0.1/12),G19)),"")</f>
        <v>2378.5120309461349</v>
      </c>
      <c r="G19" s="12">
        <f ca="1">IF($B19="","",IF(P19=0,0,'Student Loan Inputs'!$A$7))</f>
        <v>3000</v>
      </c>
      <c r="H19" s="3">
        <f ca="1">IF($B19="","",$L19-'Student Loan Inputs'!$AC$12*1.5)</f>
        <v>660017.69285897503</v>
      </c>
      <c r="I19" s="3">
        <f ca="1">IF($B19="","",$K19-'Student Loan Inputs'!$AC$12*1.5)</f>
        <v>285421.44371353619</v>
      </c>
      <c r="J19" s="3">
        <f ca="1">IFERROR(IF($B19+5&gt;'Student Loan Inputs'!$AB$12,"",$K19-'Student Loan Inputs'!$AC$12*1.5),"")</f>
        <v>285421.44371353619</v>
      </c>
      <c r="K19" s="3">
        <f ca="1">IF($B19="","",IF($A19&lt;='Student Loan Inputs'!$E$4,'Student Loan Inputs'!$C$4*((1+'Student Loan Inputs'!$AE$12)^$A19),Simulation!$K18*((1+'Student Loan Inputs'!$F$4))))</f>
        <v>320206.44371353619</v>
      </c>
      <c r="L19" s="12">
        <f ca="1">IF($B19="","",IF($C19="No",$K19,$K19+'Student Loan Inputs'!$E$7)+IF($C18="Yes",IF($B19&lt;=('Student Loan Inputs'!$D$7+'Student Loan Inputs'!$G$7),('Student Loan Inputs'!$E$7*(1+'Student Loan Inputs'!$AD$12)^($B19-'Student Loan Inputs'!$D$7))-'Student Loan Inputs'!$E$7,((1+'Student Loan Inputs'!$F$4)^(Simulation!$B19-('Student Loan Inputs'!$D$7+'Student Loan Inputs'!$G$7)))*('Student Loan Inputs'!$E$7*((1+'Student Loan Inputs'!$AD$12)^'Student Loan Inputs'!$G$7))-'Student Loan Inputs'!$E$7),0))</f>
        <v>694802.69285897503</v>
      </c>
      <c r="M19" s="12" t="str">
        <f ca="1">IFERROR(IF($B19="","",IF($M18*'Student Loan Inputs'!$B$4&gt;=Simulation!$D18*12,$M18+$Q18,IF($M18*(1+'Student Loan Inputs'!$B$4)-$D18*12&gt;0,$M18*(1+'Student Loan Inputs'!$B$4)-$D18*12,""))),"")</f>
        <v/>
      </c>
      <c r="N19" s="12" t="str">
        <f ca="1">IFERROR(IF($B19="","",IF($N18*(1+'Student Loan Inputs'!$B$4)-($E18*12)&gt;0,$N18*(1+'Student Loan Inputs'!$B$4)-($E18*12),"")),"")</f>
        <v/>
      </c>
      <c r="O19" s="12" t="str">
        <f ca="1">IFERROR(IF($B19+5&gt;'Student Loan Inputs'!$AB$12,"",IF($O18*(1+'Student Loan Inputs'!$B$4)-($F18*12)&gt;0,$O18*(1+'Student Loan Inputs'!$B$4)-($F18*12),"")),"")</f>
        <v/>
      </c>
      <c r="P19" s="12" t="str">
        <f ca="1">IFERROR(IF($B19="","",IF(($P18*(1+'Student Loan Inputs'!$B$4)-$G18*12)&lt;0,"",IF($P18*(1+'Student Loan Inputs'!$B$4)-$G18*12&gt;0,$P18*(1+'Student Loan Inputs'!$B$4)-$G18*12,""))),"")</f>
        <v/>
      </c>
      <c r="Q19" s="12" t="str">
        <f ca="1">IFERROR(IF($B19="","",IF(($M19*'Student Loan Inputs'!$B$4-$D19*12)&lt;0,0,($M19*'Student Loan Inputs'!$B$4-$D19*12)/2)),"")</f>
        <v/>
      </c>
      <c r="R19" s="12" t="str">
        <f ca="1">IFERROR(IF($B19="","",IF(($N19*'Student Loan Inputs'!$B$4-$E19*12)&lt;0,0,$N19*'Student Loan Inputs'!$B$4-$E19*12)),"")</f>
        <v/>
      </c>
      <c r="S19" s="12" t="str">
        <f ca="1">IFERROR(IF($B19+5&gt;'Student Loan Inputs'!$AB$12,"",IF(($O19*'Student Loan Inputs'!$B$4-$F19*12)&lt;0,0,$O19*'Student Loan Inputs'!$B$4-$F19*12)),"")</f>
        <v/>
      </c>
      <c r="T19" s="12" t="str">
        <f ca="1">IFERROR(IF($B19="","",IF(($P19*'Student Loan Inputs'!$B$4-$G19*12)&lt;0,0,$P19*'Student Loan Inputs'!$B$4-$G19*12)),"")</f>
        <v/>
      </c>
      <c r="U19" s="4">
        <f t="shared" ca="1" si="7"/>
        <v>0</v>
      </c>
      <c r="V19" s="4">
        <f t="shared" ca="1" si="3"/>
        <v>0</v>
      </c>
      <c r="W19" s="4">
        <f t="shared" ca="1" si="4"/>
        <v>0</v>
      </c>
      <c r="X19" s="4">
        <f t="shared" ca="1" si="5"/>
        <v>0</v>
      </c>
      <c r="Y19" s="4">
        <f ca="1">MIN(IF($B19&lt;'Student Loan Inputs'!$AF$12,Simulation!U19,0),IF(OR($X19=0,U19&gt;X19),U19,$X19))</f>
        <v>0</v>
      </c>
      <c r="Z19" s="4">
        <f ca="1">MIN(IF($B19&lt;'Student Loan Inputs'!$AF$12,Simulation!V19,0),IF(OR($X19=0,V19&gt;X19),V19,$X19))</f>
        <v>0</v>
      </c>
      <c r="AA19" s="4">
        <f ca="1">MIN(IF($B19&lt;'Student Loan Inputs'!$AF$12,Simulation!W19,0),IF(OR($X19=0,W19&gt;X19),W19,$X19))</f>
        <v>0</v>
      </c>
      <c r="AB19" s="4">
        <f ca="1">IF($B19&lt;'Student Loan Inputs'!$AF$12,Simulation!X19,0)</f>
        <v>0</v>
      </c>
      <c r="AC19" s="29">
        <f t="shared" ca="1" si="6"/>
        <v>0</v>
      </c>
      <c r="AD19" s="29">
        <f t="shared" ca="1" si="8"/>
        <v>0</v>
      </c>
      <c r="AE19" s="29">
        <f t="shared" ca="1" si="9"/>
        <v>0</v>
      </c>
      <c r="AF19" s="29">
        <f t="shared" ca="1" si="10"/>
        <v>0</v>
      </c>
    </row>
    <row r="20" spans="1:33" x14ac:dyDescent="0.35">
      <c r="A20" s="13">
        <v>18</v>
      </c>
      <c r="B20" s="13">
        <f ca="1">IF(($B$2+$A20)&gt;'Student Loan Inputs'!$AB$12,"",($B$2+$A20))</f>
        <v>2034</v>
      </c>
      <c r="C20" s="13" t="str">
        <f ca="1">IF($B20="","",IF(B20&gt;='Student Loan Inputs'!$D$7,"Yes","No"))</f>
        <v>Yes</v>
      </c>
      <c r="D20" s="12">
        <f t="shared" ca="1" si="1"/>
        <v>5731.7483381111169</v>
      </c>
      <c r="E20" s="12">
        <f t="shared" ca="1" si="2"/>
        <v>3000</v>
      </c>
      <c r="F20" s="12">
        <f ca="1">IFERROR(IF($B20+5&gt;'Student Loan Inputs'!$AB$12,"",IF(G20&gt;J20*0.1/12,IF(O20=0,0,J20*0.1/12),G20)),"")</f>
        <v>2485.2475121839807</v>
      </c>
      <c r="G20" s="12">
        <f ca="1">IF($B20="","",IF(P20=0,0,'Student Loan Inputs'!$A$7))</f>
        <v>3000</v>
      </c>
      <c r="H20" s="3">
        <f ca="1">IF($B20="","",$L20-'Student Loan Inputs'!$AC$12*1.5)</f>
        <v>687809.8005733341</v>
      </c>
      <c r="I20" s="3">
        <f ca="1">IF($B20="","",$K20-'Student Loan Inputs'!$AC$12*1.5)</f>
        <v>298229.70146207768</v>
      </c>
      <c r="J20" s="3">
        <f ca="1">IFERROR(IF($B20+5&gt;'Student Loan Inputs'!$AB$12,"",$K20-'Student Loan Inputs'!$AC$12*1.5),"")</f>
        <v>298229.70146207768</v>
      </c>
      <c r="K20" s="3">
        <f ca="1">IF($B20="","",IF($A20&lt;='Student Loan Inputs'!$E$4,'Student Loan Inputs'!$C$4*((1+'Student Loan Inputs'!$AE$12)^$A20),Simulation!$K19*((1+'Student Loan Inputs'!$F$4))))</f>
        <v>333014.70146207768</v>
      </c>
      <c r="L20" s="12">
        <f ca="1">IF($B20="","",IF($C20="No",$K20,$K20+'Student Loan Inputs'!$E$7)+IF($C19="Yes",IF($B20&lt;=('Student Loan Inputs'!$D$7+'Student Loan Inputs'!$G$7),('Student Loan Inputs'!$E$7*(1+'Student Loan Inputs'!$AD$12)^($B20-'Student Loan Inputs'!$D$7))-'Student Loan Inputs'!$E$7,((1+'Student Loan Inputs'!$F$4)^(Simulation!$B20-('Student Loan Inputs'!$D$7+'Student Loan Inputs'!$G$7)))*('Student Loan Inputs'!$E$7*((1+'Student Loan Inputs'!$AD$12)^'Student Loan Inputs'!$G$7))-'Student Loan Inputs'!$E$7),0))</f>
        <v>722594.8005733341</v>
      </c>
      <c r="M20" s="12" t="str">
        <f ca="1">IFERROR(IF($B20="","",IF($M19*'Student Loan Inputs'!$B$4&gt;=Simulation!$D19*12,$M19+$Q19,IF($M19*(1+'Student Loan Inputs'!$B$4)-$D19*12&gt;0,$M19*(1+'Student Loan Inputs'!$B$4)-$D19*12,""))),"")</f>
        <v/>
      </c>
      <c r="N20" s="12" t="str">
        <f ca="1">IFERROR(IF($B20="","",IF($N19*(1+'Student Loan Inputs'!$B$4)-($E19*12)&gt;0,$N19*(1+'Student Loan Inputs'!$B$4)-($E19*12),"")),"")</f>
        <v/>
      </c>
      <c r="O20" s="12" t="str">
        <f ca="1">IFERROR(IF($B20+5&gt;'Student Loan Inputs'!$AB$12,"",IF($O19*(1+'Student Loan Inputs'!$B$4)-($F19*12)&gt;0,$O19*(1+'Student Loan Inputs'!$B$4)-($F19*12),"")),"")</f>
        <v/>
      </c>
      <c r="P20" s="12" t="str">
        <f ca="1">IFERROR(IF($B20="","",IF(($P19*(1+'Student Loan Inputs'!$B$4)-$G19*12)&lt;0,"",IF($P19*(1+'Student Loan Inputs'!$B$4)-$G19*12&gt;0,$P19*(1+'Student Loan Inputs'!$B$4)-$G19*12,""))),"")</f>
        <v/>
      </c>
      <c r="Q20" s="12" t="str">
        <f ca="1">IFERROR(IF($B20="","",IF(($M20*'Student Loan Inputs'!$B$4-$D20*12)&lt;0,0,($M20*'Student Loan Inputs'!$B$4-$D20*12)/2)),"")</f>
        <v/>
      </c>
      <c r="R20" s="12" t="str">
        <f ca="1">IFERROR(IF($B20="","",IF(($N20*'Student Loan Inputs'!$B$4-$E20*12)&lt;0,0,$N20*'Student Loan Inputs'!$B$4-$E20*12)),"")</f>
        <v/>
      </c>
      <c r="S20" s="12" t="str">
        <f ca="1">IFERROR(IF($B20+5&gt;'Student Loan Inputs'!$AB$12,"",IF(($O20*'Student Loan Inputs'!$B$4-$F20*12)&lt;0,0,$O20*'Student Loan Inputs'!$B$4-$F20*12)),"")</f>
        <v/>
      </c>
      <c r="T20" s="12" t="str">
        <f ca="1">IFERROR(IF($B20="","",IF(($P20*'Student Loan Inputs'!$B$4-$G20*12)&lt;0,0,$P20*'Student Loan Inputs'!$B$4-$G20*12)),"")</f>
        <v/>
      </c>
      <c r="U20" s="4">
        <f t="shared" ca="1" si="7"/>
        <v>0</v>
      </c>
      <c r="V20" s="4">
        <f t="shared" ca="1" si="3"/>
        <v>0</v>
      </c>
      <c r="W20" s="4">
        <f t="shared" ca="1" si="4"/>
        <v>0</v>
      </c>
      <c r="X20" s="4">
        <f t="shared" ca="1" si="5"/>
        <v>0</v>
      </c>
      <c r="Y20" s="4">
        <f ca="1">MIN(IF($B20&lt;'Student Loan Inputs'!$AF$12,Simulation!U20,0),IF(OR($X20=0,U20&gt;X20),U20,$X20))</f>
        <v>0</v>
      </c>
      <c r="Z20" s="4">
        <f ca="1">MIN(IF($B20&lt;'Student Loan Inputs'!$AF$12,Simulation!V20,0),IF(OR($X20=0,V20&gt;X20),V20,$X20))</f>
        <v>0</v>
      </c>
      <c r="AA20" s="4">
        <f ca="1">MIN(IF($B20&lt;'Student Loan Inputs'!$AF$12,Simulation!W20,0),IF(OR($X20=0,W20&gt;X20),W20,$X20))</f>
        <v>0</v>
      </c>
      <c r="AB20" s="4">
        <f ca="1">IF($B20&lt;'Student Loan Inputs'!$AF$12,Simulation!X20,0)</f>
        <v>0</v>
      </c>
      <c r="AC20" s="29">
        <f t="shared" ca="1" si="6"/>
        <v>0</v>
      </c>
      <c r="AD20" s="29">
        <f t="shared" ca="1" si="8"/>
        <v>0</v>
      </c>
      <c r="AE20" s="29">
        <f t="shared" ca="1" si="9"/>
        <v>0</v>
      </c>
      <c r="AF20" s="29">
        <f t="shared" ca="1" si="10"/>
        <v>0</v>
      </c>
      <c r="AG20" s="19"/>
    </row>
    <row r="21" spans="1:33" x14ac:dyDescent="0.35">
      <c r="A21" s="13">
        <v>19</v>
      </c>
      <c r="B21" s="13">
        <f ca="1">IF(($B$2+$A21)&gt;'Student Loan Inputs'!$AB$12,"",($B$2+$A21))</f>
        <v>2035</v>
      </c>
      <c r="C21" s="13" t="str">
        <f ca="1">IF($B21="","",IF(B21&gt;='Student Loan Inputs'!$D$7,"Yes","No"))</f>
        <v>Yes</v>
      </c>
      <c r="D21" s="12">
        <f t="shared" ca="1" si="1"/>
        <v>5972.6132716355633</v>
      </c>
      <c r="E21" s="12">
        <f t="shared" ca="1" si="2"/>
        <v>3000</v>
      </c>
      <c r="F21" s="12" t="str">
        <f ca="1">IFERROR(IF($B21+5&gt;'Student Loan Inputs'!$AB$12,"",IF(G21&gt;J21*0.1/12,IF(O21=0,0,J21*0.1/12),G21)),"")</f>
        <v/>
      </c>
      <c r="G21" s="12">
        <f ca="1">IF($B21="","",IF(P21=0,0,'Student Loan Inputs'!$A$7))</f>
        <v>3000</v>
      </c>
      <c r="H21" s="3">
        <f ca="1">IF($B21="","",$L21-'Student Loan Inputs'!$AC$12*1.5)</f>
        <v>716713.59259626758</v>
      </c>
      <c r="I21" s="3">
        <f ca="1">IF($B21="","",$K21-'Student Loan Inputs'!$AC$12*1.5)</f>
        <v>311550.28952056082</v>
      </c>
      <c r="J21" s="3" t="str">
        <f ca="1">IFERROR(IF($B21+5&gt;'Student Loan Inputs'!$AB$12,"",$K21-'Student Loan Inputs'!$AC$12*1.5),"")</f>
        <v/>
      </c>
      <c r="K21" s="3">
        <f ca="1">IF($B21="","",IF($A21&lt;='Student Loan Inputs'!$E$4,'Student Loan Inputs'!$C$4*((1+'Student Loan Inputs'!$AE$12)^$A21),Simulation!$K20*((1+'Student Loan Inputs'!$F$4))))</f>
        <v>346335.28952056082</v>
      </c>
      <c r="L21" s="12">
        <f ca="1">IF($B21="","",IF($C21="No",$K21,$K21+'Student Loan Inputs'!$E$7)+IF($C20="Yes",IF($B21&lt;=('Student Loan Inputs'!$D$7+'Student Loan Inputs'!$G$7),('Student Loan Inputs'!$E$7*(1+'Student Loan Inputs'!$AD$12)^($B21-'Student Loan Inputs'!$D$7))-'Student Loan Inputs'!$E$7,((1+'Student Loan Inputs'!$F$4)^(Simulation!$B21-('Student Loan Inputs'!$D$7+'Student Loan Inputs'!$G$7)))*('Student Loan Inputs'!$E$7*((1+'Student Loan Inputs'!$AD$12)^'Student Loan Inputs'!$G$7))-'Student Loan Inputs'!$E$7),0))</f>
        <v>751498.59259626758</v>
      </c>
      <c r="M21" s="12" t="str">
        <f ca="1">IFERROR(IF($B21="","",IF($M20*'Student Loan Inputs'!$B$4&gt;=Simulation!$D20*12,$M20+$Q20,IF($M20*(1+'Student Loan Inputs'!$B$4)-$D20*12&gt;0,$M20*(1+'Student Loan Inputs'!$B$4)-$D20*12,""))),"")</f>
        <v/>
      </c>
      <c r="N21" s="12" t="str">
        <f ca="1">IFERROR(IF($B21="","",IF($N20*(1+'Student Loan Inputs'!$B$4)-($E20*12)&gt;0,$N20*(1+'Student Loan Inputs'!$B$4)-($E20*12),"")),"")</f>
        <v/>
      </c>
      <c r="O21" s="12" t="str">
        <f ca="1">IFERROR(IF($B21+5&gt;'Student Loan Inputs'!$AB$12,"",IF($O20*(1+'Student Loan Inputs'!$B$4)-($F20*12)&gt;0,$O20*(1+'Student Loan Inputs'!$B$4)-($F20*12),"")),"")</f>
        <v/>
      </c>
      <c r="P21" s="12" t="str">
        <f ca="1">IFERROR(IF($B21="","",IF(($P20*(1+'Student Loan Inputs'!$B$4)-$G20*12)&lt;0,"",IF($P20*(1+'Student Loan Inputs'!$B$4)-$G20*12&gt;0,$P20*(1+'Student Loan Inputs'!$B$4)-$G20*12,""))),"")</f>
        <v/>
      </c>
      <c r="Q21" s="12" t="str">
        <f ca="1">IFERROR(IF($B21="","",IF(($M21*'Student Loan Inputs'!$B$4-$D21*12)&lt;0,0,($M21*'Student Loan Inputs'!$B$4-$D21*12)/2)),"")</f>
        <v/>
      </c>
      <c r="R21" s="12" t="str">
        <f ca="1">IFERROR(IF($B21="","",IF(($N21*'Student Loan Inputs'!$B$4-$E21*12)&lt;0,0,$N21*'Student Loan Inputs'!$B$4-$E21*12)),"")</f>
        <v/>
      </c>
      <c r="S21" s="12" t="str">
        <f ca="1">IFERROR(IF($B21+5&gt;'Student Loan Inputs'!$AB$12,"",IF(($O21*'Student Loan Inputs'!$B$4-$F21*12)&lt;0,0,$O21*'Student Loan Inputs'!$B$4-$F21*12)),"")</f>
        <v/>
      </c>
      <c r="T21" s="12" t="str">
        <f ca="1">IFERROR(IF($B21="","",IF(($P21*'Student Loan Inputs'!$B$4-$G21*12)&lt;0,0,$P21*'Student Loan Inputs'!$B$4-$G21*12)),"")</f>
        <v/>
      </c>
      <c r="U21" s="4">
        <f t="shared" ca="1" si="7"/>
        <v>0</v>
      </c>
      <c r="V21" s="4">
        <f t="shared" ca="1" si="3"/>
        <v>0</v>
      </c>
      <c r="W21" s="4" t="str">
        <f t="shared" ca="1" si="4"/>
        <v/>
      </c>
      <c r="X21" s="4">
        <f t="shared" ca="1" si="5"/>
        <v>0</v>
      </c>
      <c r="Y21" s="4">
        <f ca="1">MIN(IF($B21&lt;'Student Loan Inputs'!$AF$12,Simulation!U21,0),IF(OR($X21=0,U21&gt;X21),U21,$X21))</f>
        <v>0</v>
      </c>
      <c r="Z21" s="4">
        <f ca="1">MIN(IF($B21&lt;'Student Loan Inputs'!$AF$12,Simulation!V21,0),IF(OR($X21=0,V21&gt;X21),V21,$X21))</f>
        <v>0</v>
      </c>
      <c r="AA21" s="4">
        <f ca="1">MIN(IF($B21&lt;'Student Loan Inputs'!$AF$12,Simulation!W21,0),IF(OR($X21=0,W21&gt;X21),W21,$X21))</f>
        <v>0</v>
      </c>
      <c r="AB21" s="4">
        <f ca="1">IF($B21&lt;'Student Loan Inputs'!$AF$12,Simulation!X21,0)</f>
        <v>0</v>
      </c>
      <c r="AC21" s="29">
        <f t="shared" ca="1" si="6"/>
        <v>0</v>
      </c>
      <c r="AD21" s="29">
        <f t="shared" ca="1" si="8"/>
        <v>0</v>
      </c>
      <c r="AE21" s="29">
        <f t="shared" ca="1" si="9"/>
        <v>1</v>
      </c>
      <c r="AF21" s="29">
        <f t="shared" ca="1" si="10"/>
        <v>0</v>
      </c>
    </row>
    <row r="22" spans="1:33" x14ac:dyDescent="0.35">
      <c r="A22" s="13">
        <v>20</v>
      </c>
      <c r="B22" s="13">
        <f ca="1">IF(($B$2+$A22)&gt;'Student Loan Inputs'!$AB$12,"",($B$2+$A22))</f>
        <v>2036</v>
      </c>
      <c r="C22" s="13" t="str">
        <f ca="1">IF($B22="","",IF(B22&gt;='Student Loan Inputs'!$D$7,"Yes","No"))</f>
        <v>Yes</v>
      </c>
      <c r="D22" s="12">
        <f t="shared" ca="1" si="1"/>
        <v>6223.1128025009857</v>
      </c>
      <c r="E22" s="12">
        <f t="shared" ca="1" si="2"/>
        <v>3000</v>
      </c>
      <c r="F22" s="12" t="str">
        <f ca="1">IFERROR(IF($B22+5&gt;'Student Loan Inputs'!$AB$12,"",IF(G22&gt;J22*0.1/12,IF(O22=0,0,J22*0.1/12),G22)),"")</f>
        <v/>
      </c>
      <c r="G22" s="12">
        <f ca="1">IF($B22="","",IF(P22=0,0,'Student Loan Inputs'!$A$7))</f>
        <v>3000</v>
      </c>
      <c r="H22" s="3">
        <f ca="1">IF($B22="","",$L22-'Student Loan Inputs'!$AC$12*1.5)</f>
        <v>746773.53630011831</v>
      </c>
      <c r="I22" s="3">
        <f ca="1">IF($B22="","",$K22-'Student Loan Inputs'!$AC$12*1.5)</f>
        <v>325403.70110138325</v>
      </c>
      <c r="J22" s="3" t="str">
        <f ca="1">IFERROR(IF($B22+5&gt;'Student Loan Inputs'!$AB$12,"",$K22-'Student Loan Inputs'!$AC$12*1.5),"")</f>
        <v/>
      </c>
      <c r="K22" s="3">
        <f ca="1">IF($B22="","",IF($A22&lt;='Student Loan Inputs'!$E$4,'Student Loan Inputs'!$C$4*((1+'Student Loan Inputs'!$AE$12)^$A22),Simulation!$K21*((1+'Student Loan Inputs'!$F$4))))</f>
        <v>360188.70110138325</v>
      </c>
      <c r="L22" s="12">
        <f ca="1">IF($B22="","",IF($C22="No",$K22,$K22+'Student Loan Inputs'!$E$7)+IF($C21="Yes",IF($B22&lt;=('Student Loan Inputs'!$D$7+'Student Loan Inputs'!$G$7),('Student Loan Inputs'!$E$7*(1+'Student Loan Inputs'!$AD$12)^($B22-'Student Loan Inputs'!$D$7))-'Student Loan Inputs'!$E$7,((1+'Student Loan Inputs'!$F$4)^(Simulation!$B22-('Student Loan Inputs'!$D$7+'Student Loan Inputs'!$G$7)))*('Student Loan Inputs'!$E$7*((1+'Student Loan Inputs'!$AD$12)^'Student Loan Inputs'!$G$7))-'Student Loan Inputs'!$E$7),0))</f>
        <v>781558.53630011831</v>
      </c>
      <c r="M22" s="12" t="str">
        <f ca="1">IFERROR(IF($B22="","",IF($M21*'Student Loan Inputs'!$B$4&gt;=Simulation!$D21*12,$M21+$Q21,IF($M21*(1+'Student Loan Inputs'!$B$4)-$D21*12&gt;0,$M21*(1+'Student Loan Inputs'!$B$4)-$D21*12,""))),"")</f>
        <v/>
      </c>
      <c r="N22" s="12" t="str">
        <f ca="1">IFERROR(IF($B22="","",IF($N21*(1+'Student Loan Inputs'!$B$4)-($E21*12)&gt;0,$N21*(1+'Student Loan Inputs'!$B$4)-($E21*12),"")),"")</f>
        <v/>
      </c>
      <c r="O22" s="12" t="str">
        <f ca="1">IFERROR(IF($B22+5&gt;'Student Loan Inputs'!$AB$12,"",IF($O21*(1+'Student Loan Inputs'!$B$4)-($F21*12)&gt;0,$O21*(1+'Student Loan Inputs'!$B$4)-($F21*12),"")),"")</f>
        <v/>
      </c>
      <c r="P22" s="12" t="str">
        <f ca="1">IFERROR(IF($B22="","",IF(($P21*(1+'Student Loan Inputs'!$B$4)-$G21*12)&lt;0,"",IF($P21*(1+'Student Loan Inputs'!$B$4)-$G21*12&gt;0,$P21*(1+'Student Loan Inputs'!$B$4)-$G21*12,""))),"")</f>
        <v/>
      </c>
      <c r="Q22" s="12" t="str">
        <f ca="1">IFERROR(IF($B22="","",IF(($M22*'Student Loan Inputs'!$B$4-$D22*12)&lt;0,0,($M22*'Student Loan Inputs'!$B$4-$D22*12)/2)),"")</f>
        <v/>
      </c>
      <c r="R22" s="12" t="str">
        <f ca="1">IFERROR(IF($B22="","",IF(($N22*'Student Loan Inputs'!$B$4-$E22*12)&lt;0,0,$N22*'Student Loan Inputs'!$B$4-$E22*12)),"")</f>
        <v/>
      </c>
      <c r="S22" s="12" t="str">
        <f ca="1">IFERROR(IF($B22+5&gt;'Student Loan Inputs'!$AB$12,"",IF(($O22*'Student Loan Inputs'!$B$4-$F22*12)&lt;0,0,$O22*'Student Loan Inputs'!$B$4-$F22*12)),"")</f>
        <v/>
      </c>
      <c r="T22" s="12" t="str">
        <f ca="1">IFERROR(IF($B22="","",IF(($P22*'Student Loan Inputs'!$B$4-$G22*12)&lt;0,0,$P22*'Student Loan Inputs'!$B$4-$G22*12)),"")</f>
        <v/>
      </c>
      <c r="U22" s="4">
        <f t="shared" ca="1" si="7"/>
        <v>0</v>
      </c>
      <c r="V22" s="4">
        <f t="shared" ca="1" si="3"/>
        <v>0</v>
      </c>
      <c r="W22" s="4" t="str">
        <f t="shared" ca="1" si="4"/>
        <v/>
      </c>
      <c r="X22" s="4">
        <f t="shared" ca="1" si="5"/>
        <v>0</v>
      </c>
      <c r="Y22" s="4">
        <f ca="1">MIN(IF($B22&lt;'Student Loan Inputs'!$AF$12,Simulation!U22,0),IF(OR($X22=0,U22&gt;X22),U22,$X22))</f>
        <v>0</v>
      </c>
      <c r="Z22" s="4">
        <f ca="1">MIN(IF($B22&lt;'Student Loan Inputs'!$AF$12,Simulation!V22,0),IF(OR($X22=0,V22&gt;X22),V22,$X22))</f>
        <v>0</v>
      </c>
      <c r="AA22" s="4">
        <f ca="1">MIN(IF($B22&lt;'Student Loan Inputs'!$AF$12,Simulation!W22,0),IF(OR($X22=0,W22&gt;X22),W22,$X22))</f>
        <v>0</v>
      </c>
      <c r="AB22" s="4">
        <f ca="1">IF($B22&lt;'Student Loan Inputs'!$AF$12,Simulation!X22,0)</f>
        <v>0</v>
      </c>
      <c r="AC22" s="29">
        <f t="shared" ca="1" si="6"/>
        <v>0</v>
      </c>
      <c r="AD22" s="29">
        <f t="shared" ca="1" si="8"/>
        <v>0</v>
      </c>
      <c r="AE22" s="29">
        <f t="shared" ca="1" si="9"/>
        <v>1</v>
      </c>
      <c r="AF22" s="29">
        <f t="shared" ca="1" si="10"/>
        <v>0</v>
      </c>
    </row>
    <row r="23" spans="1:33" x14ac:dyDescent="0.35">
      <c r="A23" s="13">
        <v>21</v>
      </c>
      <c r="B23" s="13">
        <f ca="1">IF(($B$2+$A23)&gt;'Student Loan Inputs'!$AB$12,"",($B$2+$A23))</f>
        <v>2037</v>
      </c>
      <c r="C23" s="13" t="str">
        <f ca="1">IF($B23="","",IF(B23&gt;='Student Loan Inputs'!$D$7,"Yes","No"))</f>
        <v>Yes</v>
      </c>
      <c r="D23" s="12">
        <f t="shared" ca="1" si="1"/>
        <v>6483.6323146010245</v>
      </c>
      <c r="E23" s="12">
        <f t="shared" ca="1" si="2"/>
        <v>3000</v>
      </c>
      <c r="F23" s="12" t="str">
        <f ca="1">IFERROR(IF($B23+5&gt;'Student Loan Inputs'!$AB$12,"",IF(G23&gt;J23*0.1/12,IF(O23=0,0,J23*0.1/12),G23)),"")</f>
        <v/>
      </c>
      <c r="G23" s="12">
        <f ca="1">IF($B23="","",IF(P23=0,0,'Student Loan Inputs'!$A$7))</f>
        <v>3000</v>
      </c>
      <c r="H23" s="3">
        <f ca="1">IF($B23="","",$L23-'Student Loan Inputs'!$AC$12*1.5)</f>
        <v>778035.87775212293</v>
      </c>
      <c r="I23" s="3">
        <f ca="1">IF($B23="","",$K23-'Student Loan Inputs'!$AC$12*1.5)</f>
        <v>339811.2491454386</v>
      </c>
      <c r="J23" s="3" t="str">
        <f ca="1">IFERROR(IF($B23+5&gt;'Student Loan Inputs'!$AB$12,"",$K23-'Student Loan Inputs'!$AC$12*1.5),"")</f>
        <v/>
      </c>
      <c r="K23" s="3">
        <f ca="1">IF($B23="","",IF($A23&lt;='Student Loan Inputs'!$E$4,'Student Loan Inputs'!$C$4*((1+'Student Loan Inputs'!$AE$12)^$A23),Simulation!$K22*((1+'Student Loan Inputs'!$F$4))))</f>
        <v>374596.2491454386</v>
      </c>
      <c r="L23" s="12">
        <f ca="1">IF($B23="","",IF($C23="No",$K23,$K23+'Student Loan Inputs'!$E$7)+IF($C22="Yes",IF($B23&lt;=('Student Loan Inputs'!$D$7+'Student Loan Inputs'!$G$7),('Student Loan Inputs'!$E$7*(1+'Student Loan Inputs'!$AD$12)^($B23-'Student Loan Inputs'!$D$7))-'Student Loan Inputs'!$E$7,((1+'Student Loan Inputs'!$F$4)^(Simulation!$B23-('Student Loan Inputs'!$D$7+'Student Loan Inputs'!$G$7)))*('Student Loan Inputs'!$E$7*((1+'Student Loan Inputs'!$AD$12)^'Student Loan Inputs'!$G$7))-'Student Loan Inputs'!$E$7),0))</f>
        <v>812820.87775212293</v>
      </c>
      <c r="M23" s="12" t="str">
        <f ca="1">IFERROR(IF($B23="","",IF($M22*'Student Loan Inputs'!$B$4&gt;=Simulation!$D22*12,$M22+$Q22,IF($M22*(1+'Student Loan Inputs'!$B$4)-$D22*12&gt;0,$M22*(1+'Student Loan Inputs'!$B$4)-$D22*12,""))),"")</f>
        <v/>
      </c>
      <c r="N23" s="12" t="str">
        <f ca="1">IFERROR(IF($B23="","",IF($N22*(1+'Student Loan Inputs'!$B$4)-($E22*12)&gt;0,$N22*(1+'Student Loan Inputs'!$B$4)-($E22*12),"")),"")</f>
        <v/>
      </c>
      <c r="O23" s="12" t="str">
        <f ca="1">IFERROR(IF($B23+5&gt;'Student Loan Inputs'!$AB$12,"",IF($O22*(1+'Student Loan Inputs'!$B$4)-($F22*12)&gt;0,$O22*(1+'Student Loan Inputs'!$B$4)-($F22*12),"")),"")</f>
        <v/>
      </c>
      <c r="P23" s="12" t="str">
        <f ca="1">IFERROR(IF($B23="","",IF(($P22*(1+'Student Loan Inputs'!$B$4)-$G22*12)&lt;0,"",IF($P22*(1+'Student Loan Inputs'!$B$4)-$G22*12&gt;0,$P22*(1+'Student Loan Inputs'!$B$4)-$G22*12,""))),"")</f>
        <v/>
      </c>
      <c r="Q23" s="12" t="str">
        <f ca="1">IFERROR(IF($B23="","",IF(($M23*'Student Loan Inputs'!$B$4-$D23*12)&lt;0,0,($M23*'Student Loan Inputs'!$B$4-$D23*12)/2)),"")</f>
        <v/>
      </c>
      <c r="R23" s="12" t="str">
        <f ca="1">IFERROR(IF($B23="","",IF(($N23*'Student Loan Inputs'!$B$4-$E23*12)&lt;0,0,$N23*'Student Loan Inputs'!$B$4-$E23*12)),"")</f>
        <v/>
      </c>
      <c r="S23" s="12" t="str">
        <f ca="1">IFERROR(IF($B23+5&gt;'Student Loan Inputs'!$AB$12,"",IF(($O23*'Student Loan Inputs'!$B$4-$F23*12)&lt;0,0,$O23*'Student Loan Inputs'!$B$4-$F23*12)),"")</f>
        <v/>
      </c>
      <c r="T23" s="12" t="str">
        <f ca="1">IFERROR(IF($B23="","",IF(($P23*'Student Loan Inputs'!$B$4-$G23*12)&lt;0,0,$P23*'Student Loan Inputs'!$B$4-$G23*12)),"")</f>
        <v/>
      </c>
      <c r="U23" s="4">
        <f t="shared" ca="1" si="7"/>
        <v>0</v>
      </c>
      <c r="V23" s="4">
        <f t="shared" ca="1" si="3"/>
        <v>0</v>
      </c>
      <c r="W23" s="4" t="str">
        <f t="shared" ca="1" si="4"/>
        <v/>
      </c>
      <c r="X23" s="4">
        <f t="shared" ca="1" si="5"/>
        <v>0</v>
      </c>
      <c r="Y23" s="4">
        <f ca="1">MIN(IF($B23&lt;'Student Loan Inputs'!$AF$12,Simulation!U23,0),IF(OR($X23=0,U23&gt;X23),U23,$X23))</f>
        <v>0</v>
      </c>
      <c r="Z23" s="4">
        <f ca="1">MIN(IF($B23&lt;'Student Loan Inputs'!$AF$12,Simulation!V23,0),IF(OR($X23=0,V23&gt;X23),V23,$X23))</f>
        <v>0</v>
      </c>
      <c r="AA23" s="4">
        <f ca="1">MIN(IF($B23&lt;'Student Loan Inputs'!$AF$12,Simulation!W23,0),IF(OR($X23=0,W23&gt;X23),W23,$X23))</f>
        <v>0</v>
      </c>
      <c r="AB23" s="4">
        <f ca="1">IF($B23&lt;'Student Loan Inputs'!$AF$12,Simulation!X23,0)</f>
        <v>0</v>
      </c>
      <c r="AC23" s="29">
        <f t="shared" ca="1" si="6"/>
        <v>0</v>
      </c>
      <c r="AD23" s="29">
        <f t="shared" ca="1" si="8"/>
        <v>0</v>
      </c>
      <c r="AE23" s="29">
        <f t="shared" ca="1" si="9"/>
        <v>1</v>
      </c>
      <c r="AF23" s="29">
        <f t="shared" ca="1" si="10"/>
        <v>0</v>
      </c>
    </row>
    <row r="24" spans="1:33" x14ac:dyDescent="0.35">
      <c r="A24" s="13">
        <v>22</v>
      </c>
      <c r="B24" s="13">
        <f ca="1">IF(($B$2+$A24)&gt;'Student Loan Inputs'!$AB$12,"",($B$2+$A24))</f>
        <v>2038</v>
      </c>
      <c r="C24" s="13" t="str">
        <f ca="1">IF($B24="","",IF(B24&gt;='Student Loan Inputs'!$D$7,"Yes","No"))</f>
        <v>Yes</v>
      </c>
      <c r="D24" s="12">
        <f t="shared" ca="1" si="1"/>
        <v>6754.5726071850668</v>
      </c>
      <c r="E24" s="12">
        <f t="shared" ca="1" si="2"/>
        <v>3000</v>
      </c>
      <c r="F24" s="12" t="str">
        <f ca="1">IFERROR(IF($B24+5&gt;'Student Loan Inputs'!$AB$12,"",IF(G24&gt;J24*0.1/12,IF(O24=0,0,J24*0.1/12),G24)),"")</f>
        <v/>
      </c>
      <c r="G24" s="12">
        <f ca="1">IF($B24="","",IF(P24=0,0,'Student Loan Inputs'!$A$7))</f>
        <v>3000</v>
      </c>
      <c r="H24" s="3">
        <f ca="1">IF($B24="","",$L24-'Student Loan Inputs'!$AC$12*1.5)</f>
        <v>810548.71286220802</v>
      </c>
      <c r="I24" s="3">
        <f ca="1">IF($B24="","",$K24-'Student Loan Inputs'!$AC$12*1.5)</f>
        <v>354795.09911125619</v>
      </c>
      <c r="J24" s="3" t="str">
        <f ca="1">IFERROR(IF($B24+5&gt;'Student Loan Inputs'!$AB$12,"",$K24-'Student Loan Inputs'!$AC$12*1.5),"")</f>
        <v/>
      </c>
      <c r="K24" s="3">
        <f ca="1">IF($B24="","",IF($A24&lt;='Student Loan Inputs'!$E$4,'Student Loan Inputs'!$C$4*((1+'Student Loan Inputs'!$AE$12)^$A24),Simulation!$K23*((1+'Student Loan Inputs'!$F$4))))</f>
        <v>389580.09911125619</v>
      </c>
      <c r="L24" s="12">
        <f ca="1">IF($B24="","",IF($C24="No",$K24,$K24+'Student Loan Inputs'!$E$7)+IF($C23="Yes",IF($B24&lt;=('Student Loan Inputs'!$D$7+'Student Loan Inputs'!$G$7),('Student Loan Inputs'!$E$7*(1+'Student Loan Inputs'!$AD$12)^($B24-'Student Loan Inputs'!$D$7))-'Student Loan Inputs'!$E$7,((1+'Student Loan Inputs'!$F$4)^(Simulation!$B24-('Student Loan Inputs'!$D$7+'Student Loan Inputs'!$G$7)))*('Student Loan Inputs'!$E$7*((1+'Student Loan Inputs'!$AD$12)^'Student Loan Inputs'!$G$7))-'Student Loan Inputs'!$E$7),0))</f>
        <v>845333.71286220802</v>
      </c>
      <c r="M24" s="12" t="str">
        <f ca="1">IFERROR(IF($B24="","",IF($M23*'Student Loan Inputs'!$B$4&gt;=Simulation!$D23*12,$M23+$Q23,IF($M23*(1+'Student Loan Inputs'!$B$4)-$D23*12&gt;0,$M23*(1+'Student Loan Inputs'!$B$4)-$D23*12,""))),"")</f>
        <v/>
      </c>
      <c r="N24" s="12" t="str">
        <f ca="1">IFERROR(IF($B24="","",IF($N23*(1+'Student Loan Inputs'!$B$4)-($E23*12)&gt;0,$N23*(1+'Student Loan Inputs'!$B$4)-($E23*12),"")),"")</f>
        <v/>
      </c>
      <c r="O24" s="12" t="str">
        <f ca="1">IFERROR(IF($B24+5&gt;'Student Loan Inputs'!$AB$12,"",IF($O23*(1+'Student Loan Inputs'!$B$4)-($F23*12)&gt;0,$O23*(1+'Student Loan Inputs'!$B$4)-($F23*12),"")),"")</f>
        <v/>
      </c>
      <c r="P24" s="12" t="str">
        <f ca="1">IFERROR(IF($B24="","",IF(($P23*(1+'Student Loan Inputs'!$B$4)-$G23*12)&lt;0,"",IF($P23*(1+'Student Loan Inputs'!$B$4)-$G23*12&gt;0,$P23*(1+'Student Loan Inputs'!$B$4)-$G23*12,""))),"")</f>
        <v/>
      </c>
      <c r="Q24" s="12" t="str">
        <f ca="1">IFERROR(IF($B24="","",IF(($M24*'Student Loan Inputs'!$B$4-$D24*12)&lt;0,0,($M24*'Student Loan Inputs'!$B$4-$D24*12)/2)),"")</f>
        <v/>
      </c>
      <c r="R24" s="12" t="str">
        <f ca="1">IFERROR(IF($B24="","",IF(($N24*'Student Loan Inputs'!$B$4-$E24*12)&lt;0,0,$N24*'Student Loan Inputs'!$B$4-$E24*12)),"")</f>
        <v/>
      </c>
      <c r="S24" s="12" t="str">
        <f ca="1">IFERROR(IF($B24+5&gt;'Student Loan Inputs'!$AB$12,"",IF(($O24*'Student Loan Inputs'!$B$4-$F24*12)&lt;0,0,$O24*'Student Loan Inputs'!$B$4-$F24*12)),"")</f>
        <v/>
      </c>
      <c r="T24" s="12" t="str">
        <f ca="1">IFERROR(IF($B24="","",IF(($P24*'Student Loan Inputs'!$B$4-$G24*12)&lt;0,0,$P24*'Student Loan Inputs'!$B$4-$G24*12)),"")</f>
        <v/>
      </c>
      <c r="U24" s="4">
        <f t="shared" ca="1" si="7"/>
        <v>0</v>
      </c>
      <c r="V24" s="4">
        <f t="shared" ca="1" si="3"/>
        <v>0</v>
      </c>
      <c r="W24" s="4" t="str">
        <f t="shared" ca="1" si="4"/>
        <v/>
      </c>
      <c r="X24" s="4">
        <f t="shared" ca="1" si="5"/>
        <v>0</v>
      </c>
      <c r="Y24" s="4">
        <f ca="1">MIN(IF($B24&lt;'Student Loan Inputs'!$AF$12,Simulation!U24,0),IF(OR($X24=0,U24&gt;X24),U24,$X24))</f>
        <v>0</v>
      </c>
      <c r="Z24" s="4">
        <f ca="1">MIN(IF($B24&lt;'Student Loan Inputs'!$AF$12,Simulation!V24,0),IF(OR($X24=0,V24&gt;X24),V24,$X24))</f>
        <v>0</v>
      </c>
      <c r="AA24" s="4">
        <f ca="1">MIN(IF($B24&lt;'Student Loan Inputs'!$AF$12,Simulation!W24,0),IF(OR($X24=0,W24&gt;X24),W24,$X24))</f>
        <v>0</v>
      </c>
      <c r="AB24" s="4">
        <f ca="1">IF($B24&lt;'Student Loan Inputs'!$AF$12,Simulation!X24,0)</f>
        <v>0</v>
      </c>
      <c r="AC24" s="29">
        <f t="shared" ca="1" si="6"/>
        <v>0</v>
      </c>
      <c r="AD24" s="29">
        <f t="shared" ca="1" si="8"/>
        <v>0</v>
      </c>
      <c r="AE24" s="29">
        <f t="shared" ca="1" si="9"/>
        <v>1</v>
      </c>
      <c r="AF24" s="29">
        <f t="shared" ca="1" si="10"/>
        <v>0</v>
      </c>
    </row>
    <row r="25" spans="1:33" x14ac:dyDescent="0.35">
      <c r="A25" s="13">
        <v>23</v>
      </c>
      <c r="B25" s="13">
        <f ca="1">IF(($B$2+$A25)&gt;'Student Loan Inputs'!$AB$12,"",($B$2+$A25))</f>
        <v>2039</v>
      </c>
      <c r="C25" s="13" t="str">
        <f ca="1">IF($B25="","",IF(B25&gt;='Student Loan Inputs'!$D$7,"Yes","No"))</f>
        <v>Yes</v>
      </c>
      <c r="D25" s="12">
        <f t="shared" ca="1" si="1"/>
        <v>7036.3505114724712</v>
      </c>
      <c r="E25" s="12">
        <f t="shared" ca="1" si="2"/>
        <v>3000</v>
      </c>
      <c r="F25" s="12" t="str">
        <f ca="1">IFERROR(IF($B25+5&gt;'Student Loan Inputs'!$AB$12,"",IF(G25&gt;J25*0.1/12,IF(O25=0,0,J25*0.1/12),G25)),"")</f>
        <v/>
      </c>
      <c r="G25" s="12">
        <f ca="1">IF($B25="","",IF(P25=0,0,'Student Loan Inputs'!$A$7))</f>
        <v>3000</v>
      </c>
      <c r="H25" s="3">
        <f ca="1">IF($B25="","",$L25-'Student Loan Inputs'!$AC$12*1.5)</f>
        <v>844362.06137669645</v>
      </c>
      <c r="I25" s="3">
        <f ca="1">IF($B25="","",$K25-'Student Loan Inputs'!$AC$12*1.5)</f>
        <v>370378.30307570647</v>
      </c>
      <c r="J25" s="3" t="str">
        <f ca="1">IFERROR(IF($B25+5&gt;'Student Loan Inputs'!$AB$12,"",$K25-'Student Loan Inputs'!$AC$12*1.5),"")</f>
        <v/>
      </c>
      <c r="K25" s="3">
        <f ca="1">IF($B25="","",IF($A25&lt;='Student Loan Inputs'!$E$4,'Student Loan Inputs'!$C$4*((1+'Student Loan Inputs'!$AE$12)^$A25),Simulation!$K24*((1+'Student Loan Inputs'!$F$4))))</f>
        <v>405163.30307570647</v>
      </c>
      <c r="L25" s="12">
        <f ca="1">IF($B25="","",IF($C25="No",$K25,$K25+'Student Loan Inputs'!$E$7)+IF($C24="Yes",IF($B25&lt;=('Student Loan Inputs'!$D$7+'Student Loan Inputs'!$G$7),('Student Loan Inputs'!$E$7*(1+'Student Loan Inputs'!$AD$12)^($B25-'Student Loan Inputs'!$D$7))-'Student Loan Inputs'!$E$7,((1+'Student Loan Inputs'!$F$4)^(Simulation!$B25-('Student Loan Inputs'!$D$7+'Student Loan Inputs'!$G$7)))*('Student Loan Inputs'!$E$7*((1+'Student Loan Inputs'!$AD$12)^'Student Loan Inputs'!$G$7))-'Student Loan Inputs'!$E$7),0))</f>
        <v>879147.06137669645</v>
      </c>
      <c r="M25" s="12" t="str">
        <f ca="1">IFERROR(IF($B25="","",IF($M24*'Student Loan Inputs'!$B$4&gt;=Simulation!$D24*12,$M24+$Q24,IF($M24*(1+'Student Loan Inputs'!$B$4)-$D24*12&gt;0,$M24*(1+'Student Loan Inputs'!$B$4)-$D24*12,""))),"")</f>
        <v/>
      </c>
      <c r="N25" s="12" t="str">
        <f ca="1">IFERROR(IF($B25="","",IF($N24*(1+'Student Loan Inputs'!$B$4)-($E24*12)&gt;0,$N24*(1+'Student Loan Inputs'!$B$4)-($E24*12),"")),"")</f>
        <v/>
      </c>
      <c r="O25" s="12" t="str">
        <f ca="1">IFERROR(IF($B25+5&gt;'Student Loan Inputs'!$AB$12,"",IF($O24*(1+'Student Loan Inputs'!$B$4)-($F24*12)&gt;0,$O24*(1+'Student Loan Inputs'!$B$4)-($F24*12),"")),"")</f>
        <v/>
      </c>
      <c r="P25" s="12" t="str">
        <f ca="1">IFERROR(IF($B25="","",IF(($P24*(1+'Student Loan Inputs'!$B$4)-$G24*12)&lt;0,"",IF($P24*(1+'Student Loan Inputs'!$B$4)-$G24*12&gt;0,$P24*(1+'Student Loan Inputs'!$B$4)-$G24*12,""))),"")</f>
        <v/>
      </c>
      <c r="Q25" s="12" t="str">
        <f ca="1">IFERROR(IF($B25="","",IF(($M25*'Student Loan Inputs'!$B$4-$D25*12)&lt;0,0,($M25*'Student Loan Inputs'!$B$4-$D25*12)/2)),"")</f>
        <v/>
      </c>
      <c r="R25" s="12" t="str">
        <f ca="1">IFERROR(IF($B25="","",IF(($N25*'Student Loan Inputs'!$B$4-$E25*12)&lt;0,0,$N25*'Student Loan Inputs'!$B$4-$E25*12)),"")</f>
        <v/>
      </c>
      <c r="S25" s="12" t="str">
        <f ca="1">IFERROR(IF($B25+5&gt;'Student Loan Inputs'!$AB$12,"",IF(($O25*'Student Loan Inputs'!$B$4-$F25*12)&lt;0,0,$O25*'Student Loan Inputs'!$B$4-$F25*12)),"")</f>
        <v/>
      </c>
      <c r="T25" s="12" t="str">
        <f ca="1">IFERROR(IF($B25="","",IF(($P25*'Student Loan Inputs'!$B$4-$G25*12)&lt;0,0,$P25*'Student Loan Inputs'!$B$4-$G25*12)),"")</f>
        <v/>
      </c>
      <c r="U25" s="4">
        <f t="shared" ca="1" si="7"/>
        <v>0</v>
      </c>
      <c r="V25" s="4">
        <f t="shared" ca="1" si="3"/>
        <v>0</v>
      </c>
      <c r="W25" s="4" t="str">
        <f t="shared" ca="1" si="4"/>
        <v/>
      </c>
      <c r="X25" s="4">
        <f t="shared" ca="1" si="5"/>
        <v>0</v>
      </c>
      <c r="Y25" s="4">
        <f ca="1">MIN(IF($B25&lt;'Student Loan Inputs'!$AF$12,Simulation!U25,0),IF(OR($X25=0,U25&gt;X25),U25,$X25))</f>
        <v>0</v>
      </c>
      <c r="Z25" s="4">
        <f ca="1">MIN(IF($B25&lt;'Student Loan Inputs'!$AF$12,Simulation!V25,0),IF(OR($X25=0,V25&gt;X25),V25,$X25))</f>
        <v>0</v>
      </c>
      <c r="AA25" s="4">
        <f ca="1">MIN(IF($B25&lt;'Student Loan Inputs'!$AF$12,Simulation!W25,0),IF(OR($X25=0,W25&gt;X25),W25,$X25))</f>
        <v>0</v>
      </c>
      <c r="AB25" s="4">
        <f ca="1">IF($B25&lt;'Student Loan Inputs'!$AF$12,Simulation!X25,0)</f>
        <v>0</v>
      </c>
      <c r="AC25" s="29">
        <f t="shared" ca="1" si="6"/>
        <v>0</v>
      </c>
      <c r="AD25" s="29">
        <f t="shared" ca="1" si="8"/>
        <v>0</v>
      </c>
      <c r="AE25" s="29">
        <f t="shared" ca="1" si="9"/>
        <v>1</v>
      </c>
      <c r="AF25" s="29">
        <f t="shared" ca="1" si="10"/>
        <v>0</v>
      </c>
    </row>
    <row r="26" spans="1:33" x14ac:dyDescent="0.35">
      <c r="A26" s="13">
        <v>24</v>
      </c>
      <c r="B26" s="13" t="str">
        <f ca="1">IF(($B$2+$A26)&gt;'Student Loan Inputs'!$AB$12,"",($B$2+$A26))</f>
        <v/>
      </c>
      <c r="C26" s="13" t="str">
        <f ca="1">IF($B26="","",IF(B26&gt;='Student Loan Inputs'!$D$7,"Yes","No"))</f>
        <v/>
      </c>
      <c r="D26" s="12" t="str">
        <f t="shared" ca="1" si="1"/>
        <v/>
      </c>
      <c r="E26" s="12" t="str">
        <f t="shared" ca="1" si="2"/>
        <v/>
      </c>
      <c r="F26" s="12" t="str">
        <f ca="1">IFERROR(IF($B26+5&gt;'Student Loan Inputs'!$AB$12,"",IF(G26&gt;J26*0.1/12,IF(O26=0,0,J26*0.1/12),G26)),"")</f>
        <v/>
      </c>
      <c r="G26" s="12" t="str">
        <f ca="1">IF($B26="","",IF(P26=0,0,'Student Loan Inputs'!$A$7))</f>
        <v/>
      </c>
      <c r="H26" s="3" t="str">
        <f ca="1">IF($B26="","",$L26-'Student Loan Inputs'!$AC$12*1.5)</f>
        <v/>
      </c>
      <c r="I26" s="3" t="str">
        <f ca="1">IF($B26="","",$K26-'Student Loan Inputs'!$AC$12*1.5)</f>
        <v/>
      </c>
      <c r="J26" s="3" t="str">
        <f ca="1">IFERROR(IF($B26+5&gt;'Student Loan Inputs'!$AB$12,"",$K26-'Student Loan Inputs'!$AC$12*1.5),"")</f>
        <v/>
      </c>
      <c r="K26" s="3" t="str">
        <f ca="1">IF($B26="","",IF($A26&lt;='Student Loan Inputs'!$E$4,'Student Loan Inputs'!$C$4*((1+'Student Loan Inputs'!$AE$12)^$A26),Simulation!$K25*((1+'Student Loan Inputs'!$F$4))))</f>
        <v/>
      </c>
      <c r="L26" s="12" t="str">
        <f ca="1">IF($B26="","",IF($C26="No",$K26,$K26+'Student Loan Inputs'!$E$7)+IF($C25="Yes",IF($B26&lt;=('Student Loan Inputs'!$D$7+'Student Loan Inputs'!$G$7),('Student Loan Inputs'!$E$7*(1+'Student Loan Inputs'!$AD$12)^($B26-'Student Loan Inputs'!$D$7))-'Student Loan Inputs'!$E$7,((1+'Student Loan Inputs'!$F$4)^(Simulation!$B26-('Student Loan Inputs'!$D$7+'Student Loan Inputs'!$G$7)))*('Student Loan Inputs'!$E$7*((1+'Student Loan Inputs'!$AD$12)^'Student Loan Inputs'!$G$7))-'Student Loan Inputs'!$E$7),0))</f>
        <v/>
      </c>
      <c r="M26" s="12" t="str">
        <f ca="1">IFERROR(IF($B26="","",IF($M25*'Student Loan Inputs'!$B$4&gt;=Simulation!$D25*12,$M25+$Q25,IF($M25*(1+'Student Loan Inputs'!$B$4)-$D25*12&gt;0,$M25*(1+'Student Loan Inputs'!$B$4)-$D25*12,""))),"")</f>
        <v/>
      </c>
      <c r="N26" s="12" t="str">
        <f ca="1">IFERROR(IF($B26="","",IF($N25*(1+'Student Loan Inputs'!$B$4)-($E25*12)&gt;0,$N25*(1+'Student Loan Inputs'!$B$4)-($E25*12),"")),"")</f>
        <v/>
      </c>
      <c r="O26" s="12" t="str">
        <f ca="1">IFERROR(IF($B26+5&gt;'Student Loan Inputs'!$AB$12,"",IF($O25*(1+'Student Loan Inputs'!$B$4)-($F25*12)&gt;0,$O25*(1+'Student Loan Inputs'!$B$4)-($F25*12),"")),"")</f>
        <v/>
      </c>
      <c r="P26" s="12" t="str">
        <f ca="1">IFERROR(IF($B26="","",IF(($P25*(1+'Student Loan Inputs'!$B$4)-$G25*12)&lt;0,"",IF($P25*(1+'Student Loan Inputs'!$B$4)-$G25*12&gt;0,$P25*(1+'Student Loan Inputs'!$B$4)-$G25*12,""))),"")</f>
        <v/>
      </c>
      <c r="Q26" s="12" t="str">
        <f ca="1">IFERROR(IF($B26="","",IF(($M26*'Student Loan Inputs'!$B$4-$D26*12)&lt;0,0,($M26*'Student Loan Inputs'!$B$4-$D26*12)/2)),"")</f>
        <v/>
      </c>
      <c r="R26" s="12" t="str">
        <f ca="1">IFERROR(IF($B26="","",IF(($N26*'Student Loan Inputs'!$B$4-$E26*12)&lt;0,0,$N26*'Student Loan Inputs'!$B$4-$E26*12)),"")</f>
        <v/>
      </c>
      <c r="S26" s="12" t="str">
        <f ca="1">IFERROR(IF($B26+5&gt;'Student Loan Inputs'!$AB$12,"",IF(($O26*'Student Loan Inputs'!$B$4-$F26*12)&lt;0,0,$O26*'Student Loan Inputs'!$B$4-$F26*12)),"")</f>
        <v/>
      </c>
      <c r="T26" s="12" t="str">
        <f ca="1">IFERROR(IF($B26="","",IF(($P26*'Student Loan Inputs'!$B$4-$G26*12)&lt;0,0,$P26*'Student Loan Inputs'!$B$4-$G26*12)),"")</f>
        <v/>
      </c>
      <c r="U26" s="4" t="str">
        <f ca="1">IFERROR(IF(M27="",IF(M26&gt;D26*12,0,M26),D26*12),"")</f>
        <v/>
      </c>
      <c r="V26" s="4" t="str">
        <f t="shared" ca="1" si="3"/>
        <v/>
      </c>
      <c r="W26" s="4" t="str">
        <f t="shared" ca="1" si="4"/>
        <v/>
      </c>
      <c r="X26" s="4" t="str">
        <f t="shared" ca="1" si="5"/>
        <v/>
      </c>
      <c r="Y26" s="4">
        <f ca="1">MIN(IF($B26&lt;'Student Loan Inputs'!$AF$12,Simulation!U26,0),IF(OR($X26=0,U26&gt;X26),U26,$X26))</f>
        <v>0</v>
      </c>
      <c r="Z26" s="4">
        <f ca="1">MIN(IF($B26&lt;'Student Loan Inputs'!$AF$12,Simulation!V26,0),IF(OR($X26=0,V26&gt;X26),V26,$X26))</f>
        <v>0</v>
      </c>
      <c r="AA26" s="4">
        <f ca="1">MIN(IF($B26&lt;'Student Loan Inputs'!$AF$12,Simulation!W26,0),IF(OR($X26=0,W26&gt;X26),W26,$X26))</f>
        <v>0</v>
      </c>
      <c r="AB26" s="4">
        <f ca="1">IF($B26&lt;'Student Loan Inputs'!$AF$12,Simulation!X26,0)</f>
        <v>0</v>
      </c>
      <c r="AC26" s="29">
        <f t="shared" ca="1" si="6"/>
        <v>1</v>
      </c>
      <c r="AD26" s="29">
        <f t="shared" ca="1" si="8"/>
        <v>1</v>
      </c>
      <c r="AE26" s="29">
        <f t="shared" ca="1" si="9"/>
        <v>1</v>
      </c>
      <c r="AF26" s="29">
        <f t="shared" ca="1" si="10"/>
        <v>1</v>
      </c>
    </row>
    <row r="27" spans="1:33" x14ac:dyDescent="0.35">
      <c r="A27" s="13">
        <v>25</v>
      </c>
      <c r="B27" s="13" t="str">
        <f ca="1">IF(($B$2+$A27)&gt;'Student Loan Inputs'!$AB$12,"",($B$2+$A27))</f>
        <v/>
      </c>
      <c r="C27" s="13" t="str">
        <f ca="1">IF($B27="","",IF(B27&gt;='Student Loan Inputs'!$D$7,"Yes","No"))</f>
        <v/>
      </c>
      <c r="D27" s="12" t="str">
        <f t="shared" ca="1" si="1"/>
        <v/>
      </c>
      <c r="E27" s="12" t="str">
        <f t="shared" ca="1" si="2"/>
        <v/>
      </c>
      <c r="F27" s="12" t="str">
        <f ca="1">IFERROR(IF($B27+5&gt;'Student Loan Inputs'!$AB$12,"",IF(G27&gt;J27*0.1/12,IF(O27=0,0,J27*0.1/12),G27)),"")</f>
        <v/>
      </c>
      <c r="G27" s="12" t="str">
        <f ca="1">IF($B27="","",IF(P27=0,0,'Student Loan Inputs'!$A$7))</f>
        <v/>
      </c>
      <c r="H27" s="3" t="str">
        <f ca="1">IF($B27="","",$L27-'Student Loan Inputs'!$AC$12*1.5)</f>
        <v/>
      </c>
      <c r="I27" s="3" t="str">
        <f ca="1">IF($B27="","",$K27-'Student Loan Inputs'!$AC$12*1.5)</f>
        <v/>
      </c>
      <c r="J27" s="3" t="str">
        <f ca="1">IFERROR(IF($B27+5&gt;'Student Loan Inputs'!$AB$12,"",$K27-'Student Loan Inputs'!$AC$12*1.5),"")</f>
        <v/>
      </c>
      <c r="K27" s="3" t="str">
        <f ca="1">IF($B27="","",IF($A27&lt;='Student Loan Inputs'!$E$4,'Student Loan Inputs'!$C$4*((1+'Student Loan Inputs'!$AE$12)^$A27),Simulation!$K26*((1+'Student Loan Inputs'!$F$4))))</f>
        <v/>
      </c>
      <c r="L27" s="12" t="str">
        <f ca="1">IF($B27="","",IF($C27="No",$K27,$K27+'Student Loan Inputs'!$E$7)+IF($C26="Yes",IF($B27&lt;=('Student Loan Inputs'!$D$7+'Student Loan Inputs'!$G$7),('Student Loan Inputs'!$E$7*(1+'Student Loan Inputs'!$AD$12)^($B27-'Student Loan Inputs'!$D$7))-'Student Loan Inputs'!$E$7,((1+'Student Loan Inputs'!$F$4)^(Simulation!$B27-('Student Loan Inputs'!$D$7+'Student Loan Inputs'!$G$7)))*('Student Loan Inputs'!$E$7*((1+'Student Loan Inputs'!$AD$12)^'Student Loan Inputs'!$G$7))-'Student Loan Inputs'!$E$7),0))</f>
        <v/>
      </c>
      <c r="M27" s="12" t="str">
        <f ca="1">IFERROR(IF($B27="","",IF($M26*'Student Loan Inputs'!$B$4&gt;=Simulation!$D26*12,$M26+$Q26,IF($M26*(1+'Student Loan Inputs'!$B$4)-$D26*12&gt;0,$M26*(1+'Student Loan Inputs'!$B$4)-$D26*12,""))),"")</f>
        <v/>
      </c>
      <c r="N27" s="12" t="str">
        <f ca="1">IFERROR(IF($B27="","",IF($N26*(1+'Student Loan Inputs'!$B$4)-($E26*12)&gt;0,$N26*(1+'Student Loan Inputs'!$B$4)-($E26*12),"")),"")</f>
        <v/>
      </c>
      <c r="O27" s="12" t="str">
        <f ca="1">IFERROR(IF($B27+5&gt;'Student Loan Inputs'!$AB$12,"",IF($O26*(1+'Student Loan Inputs'!$B$4)-($F26*12)&gt;0,$O26*(1+'Student Loan Inputs'!$B$4)-($F26*12),"")),"")</f>
        <v/>
      </c>
      <c r="P27" s="12" t="str">
        <f ca="1">IFERROR(IF($B27="","",IF(($P26*(1+'Student Loan Inputs'!$B$4)-$G26*12)&lt;0,"",IF($P26*(1+'Student Loan Inputs'!$B$4)-$G26*12&gt;0,$P26*(1+'Student Loan Inputs'!$B$4)-$G26*12,""))),"")</f>
        <v/>
      </c>
      <c r="Q27" s="12" t="str">
        <f ca="1">IFERROR(IF($B27="","",IF(($M27*'Student Loan Inputs'!$B$4-$D27*12)&lt;0,0,($M27*'Student Loan Inputs'!$B$4-$D27*12)/2)),"")</f>
        <v/>
      </c>
      <c r="R27" s="12" t="str">
        <f ca="1">IFERROR(IF($B27="","",IF(($N27*'Student Loan Inputs'!$B$4-$E27*12)&lt;0,0,$N27*'Student Loan Inputs'!$B$4-$E27*12)),"")</f>
        <v/>
      </c>
      <c r="S27" s="12" t="str">
        <f ca="1">IFERROR(IF($B27+5&gt;'Student Loan Inputs'!$AB$12,"",IF(($O27*'Student Loan Inputs'!$B$4-$F27*12)&lt;0,0,$O27*'Student Loan Inputs'!$B$4-$F27*12)),"")</f>
        <v/>
      </c>
      <c r="T27" s="12" t="str">
        <f ca="1">IFERROR(IF($B27="","",IF(($P27*'Student Loan Inputs'!$B$4-$G27*12)&lt;0,0,$P27*'Student Loan Inputs'!$B$4-$G27*12)),"")</f>
        <v/>
      </c>
      <c r="U27" s="4" t="str">
        <f t="shared" ref="U27:U32" ca="1" si="11">IFERROR(IF(M29="",IF(M28&gt;D27*12,0,M28),D27*12),"")</f>
        <v/>
      </c>
      <c r="V27" s="4" t="str">
        <f t="shared" ca="1" si="3"/>
        <v/>
      </c>
      <c r="W27" s="4" t="str">
        <f t="shared" ca="1" si="4"/>
        <v/>
      </c>
      <c r="X27" s="4" t="str">
        <f t="shared" ca="1" si="5"/>
        <v/>
      </c>
      <c r="Y27" s="4">
        <f ca="1">MIN(IF($B27&lt;'Student Loan Inputs'!$AF$12,Simulation!U27,0),IF(OR($X27=0,U27&gt;X27),U27,$X27))</f>
        <v>0</v>
      </c>
      <c r="Z27" s="4">
        <f ca="1">MIN(IF($B27&lt;'Student Loan Inputs'!$AF$12,Simulation!V27,0),IF(OR($X27=0,V27&gt;X27),V27,$X27))</f>
        <v>0</v>
      </c>
      <c r="AA27" s="4">
        <f ca="1">MIN(IF($B27&lt;'Student Loan Inputs'!$AF$12,Simulation!W27,0),IF(OR($X27=0,W27&gt;X27),W27,$X27))</f>
        <v>0</v>
      </c>
      <c r="AB27" s="4">
        <f ca="1">IF($B27&lt;'Student Loan Inputs'!$AF$12,Simulation!X27,0)</f>
        <v>0</v>
      </c>
      <c r="AC27" s="29">
        <f t="shared" ca="1" si="6"/>
        <v>1</v>
      </c>
      <c r="AD27" s="29">
        <f t="shared" ca="1" si="8"/>
        <v>1</v>
      </c>
      <c r="AE27" s="29">
        <f t="shared" ca="1" si="9"/>
        <v>1</v>
      </c>
      <c r="AF27" s="29">
        <f t="shared" ca="1" si="10"/>
        <v>1</v>
      </c>
    </row>
    <row r="28" spans="1:33" x14ac:dyDescent="0.35">
      <c r="A28" s="13">
        <v>26</v>
      </c>
      <c r="B28" s="13" t="str">
        <f ca="1">IF(($B$2+$A28)&gt;'Student Loan Inputs'!$AB$12,"",($B$2+$A28))</f>
        <v/>
      </c>
      <c r="C28" s="13" t="str">
        <f ca="1">IF($B28="","",IF(B28&gt;='Student Loan Inputs'!$D$7,"Yes","No"))</f>
        <v/>
      </c>
      <c r="D28" s="12" t="str">
        <f t="shared" ca="1" si="1"/>
        <v/>
      </c>
      <c r="E28" s="12" t="str">
        <f t="shared" ca="1" si="2"/>
        <v/>
      </c>
      <c r="F28" s="12" t="str">
        <f ca="1">IFERROR(IF($B28+5&gt;'Student Loan Inputs'!$AB$12,"",IF(G28&gt;J28*0.1/12,IF(O28=0,0,J28*0.1/12),G28)),"")</f>
        <v/>
      </c>
      <c r="G28" s="12" t="str">
        <f ca="1">IF($B28="","",IF(P28=0,0,'Student Loan Inputs'!$A$7))</f>
        <v/>
      </c>
      <c r="H28" s="3" t="str">
        <f ca="1">IF($B28="","",$L28-'Student Loan Inputs'!$AC$12*1.5)</f>
        <v/>
      </c>
      <c r="I28" s="3" t="str">
        <f ca="1">IF($B28="","",$K28-'Student Loan Inputs'!$AC$12*1.5)</f>
        <v/>
      </c>
      <c r="J28" s="3" t="str">
        <f ca="1">IFERROR(IF($B28+5&gt;'Student Loan Inputs'!$AB$12,"",$K28-'Student Loan Inputs'!$AC$12*1.5),"")</f>
        <v/>
      </c>
      <c r="K28" s="3" t="str">
        <f ca="1">IF($B28="","",IF($A28&lt;='Student Loan Inputs'!$E$4,'Student Loan Inputs'!$C$4*((1+'Student Loan Inputs'!$AE$12)^$A28),Simulation!$K27*((1+'Student Loan Inputs'!$F$4))))</f>
        <v/>
      </c>
      <c r="L28" s="12" t="str">
        <f ca="1">IF($B28="","",IF($C28="No",$K28,$K28+'Student Loan Inputs'!$E$7)+IF($C27="Yes",IF($B28&lt;=('Student Loan Inputs'!$D$7+'Student Loan Inputs'!$G$7),('Student Loan Inputs'!$E$7*(1+'Student Loan Inputs'!$AD$12)^($B28-'Student Loan Inputs'!$D$7))-'Student Loan Inputs'!$E$7,((1+'Student Loan Inputs'!$F$4)^(Simulation!$B28-('Student Loan Inputs'!$D$7+'Student Loan Inputs'!$G$7)))*('Student Loan Inputs'!$E$7*((1+'Student Loan Inputs'!$AD$12)^'Student Loan Inputs'!$G$7))-'Student Loan Inputs'!$E$7),0))</f>
        <v/>
      </c>
      <c r="M28" s="12" t="str">
        <f ca="1">IFERROR(IF($B28="","",IF($M27*'Student Loan Inputs'!$B$4&gt;=Simulation!$D27*12,$M27+$Q27,IF($M27*(1+'Student Loan Inputs'!$B$4)-$D27*12&gt;0,$M27*(1+'Student Loan Inputs'!$B$4)-$D27*12,""))),"")</f>
        <v/>
      </c>
      <c r="N28" s="12" t="str">
        <f ca="1">IFERROR(IF($B28="","",IF($N27*(1+'Student Loan Inputs'!$B$4)-($E27*12)&gt;0,$N27*(1+'Student Loan Inputs'!$B$4)-($E27*12),"")),"")</f>
        <v/>
      </c>
      <c r="O28" s="12" t="str">
        <f ca="1">IFERROR(IF($B28+5&gt;'Student Loan Inputs'!$AB$12,"",IF($O27*(1+'Student Loan Inputs'!$B$4)-($F27*12)&gt;0,$O27*(1+'Student Loan Inputs'!$B$4)-($F27*12),"")),"")</f>
        <v/>
      </c>
      <c r="P28" s="12" t="str">
        <f ca="1">IFERROR(IF($B28="","",IF(($P27*(1+'Student Loan Inputs'!$B$4)-$G27*12)&lt;0,"",IF($P27*(1+'Student Loan Inputs'!$B$4)-$G27*12&gt;0,$P27*(1+'Student Loan Inputs'!$B$4)-$G27*12,""))),"")</f>
        <v/>
      </c>
      <c r="Q28" s="12" t="str">
        <f ca="1">IFERROR(IF($B28="","",IF(($M28*'Student Loan Inputs'!$B$4-$D28*12)&lt;0,0,($M28*'Student Loan Inputs'!$B$4-$D28*12)/2)),"")</f>
        <v/>
      </c>
      <c r="R28" s="12" t="str">
        <f ca="1">IFERROR(IF($B28="","",IF(($N28*'Student Loan Inputs'!$B$4-$E28*12)&lt;0,0,$N28*'Student Loan Inputs'!$B$4-$E28*12)),"")</f>
        <v/>
      </c>
      <c r="S28" s="12" t="str">
        <f ca="1">IFERROR(IF($B28+5&gt;'Student Loan Inputs'!$AB$12,"",IF(($O28*'Student Loan Inputs'!$B$4-$F28*12)&lt;0,0,$O28*'Student Loan Inputs'!$B$4-$F28*12)),"")</f>
        <v/>
      </c>
      <c r="T28" s="12" t="str">
        <f ca="1">IFERROR(IF($B28="","",IF(($P28*'Student Loan Inputs'!$B$4-$G28*12)&lt;0,0,$P28*'Student Loan Inputs'!$B$4-$G28*12)),"")</f>
        <v/>
      </c>
      <c r="U28" s="4" t="str">
        <f t="shared" ca="1" si="11"/>
        <v/>
      </c>
      <c r="V28" s="4" t="str">
        <f t="shared" ca="1" si="3"/>
        <v/>
      </c>
      <c r="W28" s="4" t="str">
        <f t="shared" ca="1" si="4"/>
        <v/>
      </c>
      <c r="X28" s="4" t="str">
        <f t="shared" ca="1" si="5"/>
        <v/>
      </c>
    </row>
    <row r="29" spans="1:33" x14ac:dyDescent="0.35">
      <c r="A29" s="13">
        <v>27</v>
      </c>
      <c r="B29" s="13" t="str">
        <f ca="1">IF(($B$2+$A29)&gt;'Student Loan Inputs'!$AB$12,"",($B$2+$A29))</f>
        <v/>
      </c>
      <c r="C29" s="13" t="str">
        <f ca="1">IF($B29="","",IF(B29&gt;='Student Loan Inputs'!$D$7,"Yes","No"))</f>
        <v/>
      </c>
      <c r="D29" s="12" t="str">
        <f t="shared" ca="1" si="1"/>
        <v/>
      </c>
      <c r="E29" s="12" t="str">
        <f t="shared" ca="1" si="2"/>
        <v/>
      </c>
      <c r="F29" s="12" t="str">
        <f ca="1">IFERROR(IF($B29+5&gt;'Student Loan Inputs'!$AB$12,"",IF(G29&gt;J29*0.1/12,IF(O29=0,0,J29*0.1/12),G29)),"")</f>
        <v/>
      </c>
      <c r="G29" s="12" t="str">
        <f ca="1">IF($B29="","",IF(P29=0,0,'Student Loan Inputs'!$A$7))</f>
        <v/>
      </c>
      <c r="H29" s="3" t="str">
        <f ca="1">IF($B29="","",$L29-'Student Loan Inputs'!$AC$12*1.5)</f>
        <v/>
      </c>
      <c r="I29" s="3" t="str">
        <f ca="1">IF($B29="","",$K29-'Student Loan Inputs'!$AC$12*1.5)</f>
        <v/>
      </c>
      <c r="J29" s="3" t="str">
        <f ca="1">IFERROR(IF($B29+5&gt;'Student Loan Inputs'!$AB$12,"",$K29-'Student Loan Inputs'!$AC$12*1.5),"")</f>
        <v/>
      </c>
      <c r="K29" s="3" t="str">
        <f ca="1">IF($B29="","",IF($A29&lt;='Student Loan Inputs'!$E$4,'Student Loan Inputs'!$C$4*((1+'Student Loan Inputs'!$AE$12)^$A29),Simulation!$K28*((1+'Student Loan Inputs'!$F$4))))</f>
        <v/>
      </c>
      <c r="L29" s="12" t="str">
        <f ca="1">IF($B29="","",IF($C29="No",$K29,$K29+'Student Loan Inputs'!$E$7)+IF($C28="Yes",IF($B29&lt;=('Student Loan Inputs'!$D$7+'Student Loan Inputs'!$G$7),('Student Loan Inputs'!$E$7*(1+'Student Loan Inputs'!$AD$12)^($B29-'Student Loan Inputs'!$D$7))-'Student Loan Inputs'!$E$7,((1+'Student Loan Inputs'!$F$4)^(Simulation!$B29-('Student Loan Inputs'!$D$7+'Student Loan Inputs'!$G$7)))*('Student Loan Inputs'!$E$7*((1+'Student Loan Inputs'!$AD$12)^'Student Loan Inputs'!$G$7))-'Student Loan Inputs'!$E$7),0))</f>
        <v/>
      </c>
      <c r="M29" s="12" t="str">
        <f ca="1">IFERROR(IF($B29="","",IF($M28*'Student Loan Inputs'!$B$4&gt;=Simulation!$D28*12,$M28+$Q28,IF($M28*(1+'Student Loan Inputs'!$B$4)-$D28*12&gt;0,$M28*(1+'Student Loan Inputs'!$B$4)-$D28*12,""))),"")</f>
        <v/>
      </c>
      <c r="N29" s="12" t="str">
        <f ca="1">IFERROR(IF($B29="","",IF($N28*(1+'Student Loan Inputs'!$B$4)-($E28*12)&gt;0,$N28*(1+'Student Loan Inputs'!$B$4)-($E28*12),"")),"")</f>
        <v/>
      </c>
      <c r="O29" s="12" t="str">
        <f ca="1">IFERROR(IF($B29+5&gt;'Student Loan Inputs'!$AB$12,"",IF($O28*(1+'Student Loan Inputs'!$B$4)-($F28*12)&gt;0,$O28*(1+'Student Loan Inputs'!$B$4)-($F28*12),"")),"")</f>
        <v/>
      </c>
      <c r="P29" s="12" t="str">
        <f ca="1">IFERROR(IF($B29="","",IF(($P28*(1+'Student Loan Inputs'!$B$4)-$G28*12)&lt;0,"",IF($P28*(1+'Student Loan Inputs'!$B$4)-$G28*12&gt;0,$P28*(1+'Student Loan Inputs'!$B$4)-$G28*12,""))),"")</f>
        <v/>
      </c>
      <c r="Q29" s="12" t="str">
        <f ca="1">IFERROR(IF($B29="","",IF(($M29*'Student Loan Inputs'!$B$4-$D29*12)&lt;0,0,($M29*'Student Loan Inputs'!$B$4-$D29*12)/2)),"")</f>
        <v/>
      </c>
      <c r="R29" s="12" t="str">
        <f ca="1">IFERROR(IF($B29="","",IF(($N29*'Student Loan Inputs'!$B$4-$E29*12)&lt;0,0,$N29*'Student Loan Inputs'!$B$4-$E29*12)),"")</f>
        <v/>
      </c>
      <c r="S29" s="12" t="str">
        <f ca="1">IFERROR(IF($B29+5&gt;'Student Loan Inputs'!$AB$12,"",IF(($O29*'Student Loan Inputs'!$B$4-$F29*12)&lt;0,0,$O29*'Student Loan Inputs'!$B$4-$F29*12)),"")</f>
        <v/>
      </c>
      <c r="T29" s="12" t="str">
        <f ca="1">IFERROR(IF($B29="","",IF(($P29*'Student Loan Inputs'!$B$4-$G29*12)&lt;0,0,$P29*'Student Loan Inputs'!$B$4-$G29*12)),"")</f>
        <v/>
      </c>
      <c r="U29" s="4" t="str">
        <f t="shared" ca="1" si="11"/>
        <v/>
      </c>
      <c r="V29" s="4" t="str">
        <f t="shared" ca="1" si="3"/>
        <v/>
      </c>
      <c r="W29" s="4" t="str">
        <f t="shared" ca="1" si="4"/>
        <v/>
      </c>
      <c r="X29" s="4" t="str">
        <f t="shared" ca="1" si="5"/>
        <v/>
      </c>
    </row>
    <row r="30" spans="1:33" x14ac:dyDescent="0.35">
      <c r="A30" s="13">
        <v>28</v>
      </c>
      <c r="B30" s="13" t="str">
        <f ca="1">IF(($B$2+$A30)&gt;'Student Loan Inputs'!$AB$12,"",($B$2+$A30))</f>
        <v/>
      </c>
      <c r="C30" s="13" t="str">
        <f ca="1">IF($B30="","",IF(B30&gt;='Student Loan Inputs'!$D$7,"Yes","No"))</f>
        <v/>
      </c>
      <c r="D30" s="12" t="str">
        <f t="shared" ca="1" si="1"/>
        <v/>
      </c>
      <c r="E30" s="12" t="str">
        <f t="shared" ca="1" si="2"/>
        <v/>
      </c>
      <c r="F30" s="12" t="str">
        <f ca="1">IFERROR(IF($B30+5&gt;'Student Loan Inputs'!$AB$12,"",IF(G30&gt;J30*0.1/12,IF(O30=0,0,J30*0.1/12),G30)),"")</f>
        <v/>
      </c>
      <c r="G30" s="12" t="str">
        <f ca="1">IF($B30="","",IF(P30=0,0,'Student Loan Inputs'!$A$7))</f>
        <v/>
      </c>
      <c r="H30" s="3" t="str">
        <f ca="1">IF($B30="","",$L30-'Student Loan Inputs'!$AC$12*1.5)</f>
        <v/>
      </c>
      <c r="I30" s="3" t="str">
        <f ca="1">IF($B30="","",$K30-'Student Loan Inputs'!$AC$12*1.5)</f>
        <v/>
      </c>
      <c r="J30" s="3" t="str">
        <f ca="1">IFERROR(IF($B30+5&gt;'Student Loan Inputs'!$AB$12,"",$K30-'Student Loan Inputs'!$AC$12*1.5),"")</f>
        <v/>
      </c>
      <c r="K30" s="3" t="str">
        <f ca="1">IF($B30="","",IF($A30&lt;='Student Loan Inputs'!$E$4,'Student Loan Inputs'!$C$4*((1+'Student Loan Inputs'!$AE$12)^$A30),Simulation!$K29*((1+'Student Loan Inputs'!$F$4))))</f>
        <v/>
      </c>
      <c r="L30" s="12" t="str">
        <f ca="1">IF($B30="","",IF($C30="No",$K30,$K30+'Student Loan Inputs'!$E$7)+IF($C29="Yes",IF($B30&lt;=('Student Loan Inputs'!$D$7+'Student Loan Inputs'!$G$7),('Student Loan Inputs'!$E$7*(1+'Student Loan Inputs'!$AD$12)^($B30-'Student Loan Inputs'!$D$7))-'Student Loan Inputs'!$E$7,((1+'Student Loan Inputs'!$F$4)^(Simulation!$B30-('Student Loan Inputs'!$D$7+'Student Loan Inputs'!$G$7)))*('Student Loan Inputs'!$E$7*((1+'Student Loan Inputs'!$AD$12)^'Student Loan Inputs'!$G$7))-'Student Loan Inputs'!$E$7),0))</f>
        <v/>
      </c>
      <c r="M30" s="12" t="str">
        <f ca="1">IFERROR(IF($B30="","",IF($M29*'Student Loan Inputs'!$B$4&gt;=Simulation!$D29*12,$M29+$Q29,IF($M29*(1+'Student Loan Inputs'!$B$4)-$D29*12&gt;0,$M29*(1+'Student Loan Inputs'!$B$4)-$D29*12,""))),"")</f>
        <v/>
      </c>
      <c r="N30" s="12" t="str">
        <f ca="1">IFERROR(IF($B30="","",IF($N29*(1+'Student Loan Inputs'!$B$4)-($E29*12)&gt;0,$N29*(1+'Student Loan Inputs'!$B$4)-($E29*12),"")),"")</f>
        <v/>
      </c>
      <c r="O30" s="12" t="str">
        <f ca="1">IFERROR(IF($B30+5&gt;'Student Loan Inputs'!$AB$12,"",IF($O29*(1+'Student Loan Inputs'!$B$4)-($F29*12)&gt;0,$O29*(1+'Student Loan Inputs'!$B$4)-($F29*12),"")),"")</f>
        <v/>
      </c>
      <c r="P30" s="12" t="str">
        <f ca="1">IFERROR(IF($B30="","",IF(($P29*(1+'Student Loan Inputs'!$B$4)-$G29*12)&lt;0,"",IF($P29*(1+'Student Loan Inputs'!$B$4)-$G29*12&gt;0,$P29*(1+'Student Loan Inputs'!$B$4)-$G29*12,""))),"")</f>
        <v/>
      </c>
      <c r="Q30" s="12" t="str">
        <f ca="1">IFERROR(IF($B30="","",IF(($M30*'Student Loan Inputs'!$B$4-$D30*12)&lt;0,0,($M30*'Student Loan Inputs'!$B$4-$D30*12)/2)),"")</f>
        <v/>
      </c>
      <c r="R30" s="12" t="str">
        <f ca="1">IFERROR(IF($B30="","",IF(($N30*'Student Loan Inputs'!$B$4-$E30*12)&lt;0,0,$N30*'Student Loan Inputs'!$B$4-$E30*12)),"")</f>
        <v/>
      </c>
      <c r="S30" s="12" t="str">
        <f ca="1">IFERROR(IF($B30+5&gt;'Student Loan Inputs'!$AB$12,"",IF(($O30*'Student Loan Inputs'!$B$4-$F30*12)&lt;0,0,$O30*'Student Loan Inputs'!$B$4-$F30*12)),"")</f>
        <v/>
      </c>
      <c r="T30" s="12" t="str">
        <f ca="1">IFERROR(IF($B30="","",IF(($P30*'Student Loan Inputs'!$B$4-$G30*12)&lt;0,0,$P30*'Student Loan Inputs'!$B$4-$G30*12)),"")</f>
        <v/>
      </c>
      <c r="U30" s="4" t="str">
        <f t="shared" ca="1" si="11"/>
        <v/>
      </c>
      <c r="V30" s="4" t="str">
        <f t="shared" ca="1" si="3"/>
        <v/>
      </c>
      <c r="W30" s="4" t="str">
        <f t="shared" ca="1" si="4"/>
        <v/>
      </c>
      <c r="X30" s="4" t="str">
        <f t="shared" ca="1" si="5"/>
        <v/>
      </c>
    </row>
    <row r="31" spans="1:33" x14ac:dyDescent="0.35">
      <c r="A31" s="13">
        <v>29</v>
      </c>
      <c r="B31" s="13" t="str">
        <f ca="1">IF(($B$2+$A31)&gt;'Student Loan Inputs'!$AB$12,"",($B$2+$A31))</f>
        <v/>
      </c>
      <c r="C31" s="13" t="str">
        <f ca="1">IF($B31="","",IF(B31&gt;='Student Loan Inputs'!$D$7,"Yes","No"))</f>
        <v/>
      </c>
      <c r="D31" s="12" t="str">
        <f t="shared" ca="1" si="1"/>
        <v/>
      </c>
      <c r="E31" s="12" t="str">
        <f t="shared" ca="1" si="2"/>
        <v/>
      </c>
      <c r="F31" s="12" t="str">
        <f ca="1">IFERROR(IF($B31+5&gt;'Student Loan Inputs'!$AB$12,"",IF(G31&gt;J31*0.1/12,IF(O31=0,0,J31*0.1/12),G31)),"")</f>
        <v/>
      </c>
      <c r="G31" s="12" t="str">
        <f ca="1">IF($B31="","",IF(P31=0,0,'Student Loan Inputs'!$A$7))</f>
        <v/>
      </c>
      <c r="H31" s="3" t="str">
        <f ca="1">IF($B31="","",$L31-'Student Loan Inputs'!$AC$12*1.5)</f>
        <v/>
      </c>
      <c r="I31" s="3" t="str">
        <f ca="1">IF($B31="","",$K31-'Student Loan Inputs'!$AC$12*1.5)</f>
        <v/>
      </c>
      <c r="J31" s="3" t="str">
        <f ca="1">IFERROR(IF($B31+5&gt;'Student Loan Inputs'!$AB$12,"",$K31-'Student Loan Inputs'!$AC$12*1.5),"")</f>
        <v/>
      </c>
      <c r="K31" s="3" t="str">
        <f ca="1">IF($B31="","",IF($A31&lt;='Student Loan Inputs'!$E$4,'Student Loan Inputs'!$C$4*((1+'Student Loan Inputs'!$AE$12)^$A31),Simulation!$K30*((1+'Student Loan Inputs'!$F$4))))</f>
        <v/>
      </c>
      <c r="L31" s="12" t="str">
        <f ca="1">IF($B31="","",IF($C31="No",$K31,$K31+'Student Loan Inputs'!$E$7)+IF($C30="Yes",IF($B31&lt;=('Student Loan Inputs'!$D$7+'Student Loan Inputs'!$G$7),('Student Loan Inputs'!$E$7*(1+'Student Loan Inputs'!$AD$12)^($B31-'Student Loan Inputs'!$D$7))-'Student Loan Inputs'!$E$7,((1+'Student Loan Inputs'!$F$4)^(Simulation!$B31-('Student Loan Inputs'!$D$7+'Student Loan Inputs'!$G$7)))*('Student Loan Inputs'!$E$7*((1+'Student Loan Inputs'!$AD$12)^'Student Loan Inputs'!$G$7))-'Student Loan Inputs'!$E$7),0))</f>
        <v/>
      </c>
      <c r="M31" s="12" t="str">
        <f ca="1">IFERROR(IF($B31="","",IF($M30*'Student Loan Inputs'!$B$4&gt;=Simulation!$D30*12,$M30+$Q30,IF($M30*(1+'Student Loan Inputs'!$B$4)-$D30*12&gt;0,$M30*(1+'Student Loan Inputs'!$B$4)-$D30*12,""))),"")</f>
        <v/>
      </c>
      <c r="N31" s="12" t="str">
        <f ca="1">IFERROR(IF($B31="","",IF($N30*(1+'Student Loan Inputs'!$B$4)-($E30*12)&gt;0,$N30*(1+'Student Loan Inputs'!$B$4)-($E30*12),"")),"")</f>
        <v/>
      </c>
      <c r="O31" s="12" t="str">
        <f ca="1">IFERROR(IF($B31+5&gt;'Student Loan Inputs'!$AB$12,"",IF($O30*(1+'Student Loan Inputs'!$B$4)-($F30*12)&gt;0,$O30*(1+'Student Loan Inputs'!$B$4)-($F30*12),"")),"")</f>
        <v/>
      </c>
      <c r="P31" s="12" t="str">
        <f ca="1">IFERROR(IF($B31="","",IF(($P30*(1+'Student Loan Inputs'!$B$4)-$G30*12)&lt;0,"",IF($P30*(1+'Student Loan Inputs'!$B$4)-$G30*12&gt;0,$P30*(1+'Student Loan Inputs'!$B$4)-$G30*12,""))),"")</f>
        <v/>
      </c>
      <c r="Q31" s="12" t="str">
        <f ca="1">IFERROR(IF($B31="","",IF(($M31*'Student Loan Inputs'!$B$4-$D31*12)&lt;0,0,($M31*'Student Loan Inputs'!$B$4-$D31*12)/2)),"")</f>
        <v/>
      </c>
      <c r="R31" s="12" t="str">
        <f ca="1">IFERROR(IF($B31="","",IF(($N31*'Student Loan Inputs'!$B$4-$E31*12)&lt;0,0,$N31*'Student Loan Inputs'!$B$4-$E31*12)),"")</f>
        <v/>
      </c>
      <c r="S31" s="12" t="str">
        <f ca="1">IFERROR(IF($B31+5&gt;'Student Loan Inputs'!$AB$12,"",IF(($O31*'Student Loan Inputs'!$B$4-$F31*12)&lt;0,0,$O31*'Student Loan Inputs'!$B$4-$F31*12)),"")</f>
        <v/>
      </c>
      <c r="T31" s="12" t="str">
        <f ca="1">IFERROR(IF($B31="","",IF(($P31*'Student Loan Inputs'!$B$4-$G31*12)&lt;0,0,$P31*'Student Loan Inputs'!$B$4-$G31*12)),"")</f>
        <v/>
      </c>
      <c r="U31" s="4" t="str">
        <f t="shared" ca="1" si="11"/>
        <v/>
      </c>
      <c r="V31" s="4" t="str">
        <f t="shared" ca="1" si="3"/>
        <v/>
      </c>
      <c r="W31" s="4" t="str">
        <f t="shared" ca="1" si="4"/>
        <v/>
      </c>
      <c r="X31" s="4" t="str">
        <f t="shared" ca="1" si="5"/>
        <v/>
      </c>
    </row>
    <row r="32" spans="1:33" x14ac:dyDescent="0.35">
      <c r="A32" s="13">
        <v>30</v>
      </c>
      <c r="B32" s="13" t="str">
        <f ca="1">IF(($B$2+$A32)&gt;'Student Loan Inputs'!$AB$12,"",($B$2+$A32))</f>
        <v/>
      </c>
      <c r="C32" s="13" t="str">
        <f ca="1">IF($B32="","",IF(B32&gt;='Student Loan Inputs'!$D$7,"Yes","No"))</f>
        <v/>
      </c>
      <c r="D32" s="12" t="str">
        <f t="shared" ca="1" si="1"/>
        <v/>
      </c>
      <c r="E32" s="12" t="str">
        <f t="shared" ca="1" si="2"/>
        <v/>
      </c>
      <c r="F32" s="12" t="str">
        <f ca="1">IFERROR(IF($B32+5&gt;'Student Loan Inputs'!$AB$12,"",IF(G32&gt;J32*0.1/12,IF(O32=0,0,J32*0.1/12),G32)),"")</f>
        <v/>
      </c>
      <c r="G32" s="12" t="str">
        <f ca="1">IF($B32="","",IF(P32=0,0,'Student Loan Inputs'!$A$7))</f>
        <v/>
      </c>
      <c r="H32" s="3" t="str">
        <f ca="1">IF($B32="","",$L32-'Student Loan Inputs'!$AC$12*1.5)</f>
        <v/>
      </c>
      <c r="I32" s="3" t="str">
        <f ca="1">IF($B32="","",$K32-'Student Loan Inputs'!$AC$12*1.5)</f>
        <v/>
      </c>
      <c r="J32" s="3" t="str">
        <f ca="1">IFERROR(IF($B32+5&gt;'Student Loan Inputs'!$AB$12,"",$K32-'Student Loan Inputs'!$AC$12*1.5),"")</f>
        <v/>
      </c>
      <c r="K32" s="3" t="str">
        <f ca="1">IF($B32="","",IF($A32&lt;='Student Loan Inputs'!$E$4,'Student Loan Inputs'!$C$4*((1+'Student Loan Inputs'!$AE$12)^$A32),Simulation!$K31*((1+'Student Loan Inputs'!$F$4))))</f>
        <v/>
      </c>
      <c r="L32" s="12" t="str">
        <f ca="1">IF($B32="","",IF($C32="No",$K32,$K32+'Student Loan Inputs'!$E$7)+IF($C31="Yes",IF($B32&lt;=('Student Loan Inputs'!$D$7+'Student Loan Inputs'!$G$7),('Student Loan Inputs'!$E$7*(1+'Student Loan Inputs'!$AD$12)^($B32-'Student Loan Inputs'!$D$7))-'Student Loan Inputs'!$E$7,((1+'Student Loan Inputs'!$F$4)^(Simulation!$B32-('Student Loan Inputs'!$D$7+'Student Loan Inputs'!$G$7)))*('Student Loan Inputs'!$E$7*((1+'Student Loan Inputs'!$AD$12)^'Student Loan Inputs'!$G$7))-'Student Loan Inputs'!$E$7),0))</f>
        <v/>
      </c>
      <c r="M32" s="12" t="str">
        <f ca="1">IFERROR(IF($B32="","",IF($M31*'Student Loan Inputs'!$B$4&gt;=Simulation!$D31*12,$M31+$Q31,IF($M31*(1+'Student Loan Inputs'!$B$4)-$D31*12&gt;0,$M31*(1+'Student Loan Inputs'!$B$4)-$D31*12,""))),"")</f>
        <v/>
      </c>
      <c r="N32" s="12" t="str">
        <f ca="1">IFERROR(IF($B32="","",IF($N31*(1+'Student Loan Inputs'!$B$4)-($E31*12)&gt;0,$N31*(1+'Student Loan Inputs'!$B$4)-($E31*12),"")),"")</f>
        <v/>
      </c>
      <c r="O32" s="12" t="str">
        <f ca="1">IFERROR(IF($B32+5&gt;'Student Loan Inputs'!$AB$12,"",IF($O31*(1+'Student Loan Inputs'!$B$4)-($F31*12)&gt;0,$O31*(1+'Student Loan Inputs'!$B$4)-($F31*12),"")),"")</f>
        <v/>
      </c>
      <c r="P32" s="12" t="str">
        <f ca="1">IFERROR(IF($B32="","",IF(($P31*(1+'Student Loan Inputs'!$B$4)-$G31*12)&lt;0,"",IF($P31*(1+'Student Loan Inputs'!$B$4)-$G31*12&gt;0,$P31*(1+'Student Loan Inputs'!$B$4)-$G31*12,""))),"")</f>
        <v/>
      </c>
      <c r="Q32" s="12" t="str">
        <f ca="1">IFERROR(IF($B32="","",IF(($M32*'Student Loan Inputs'!$B$4-$D32*12)&lt;0,0,($M32*'Student Loan Inputs'!$B$4-$D32*12)/2)),"")</f>
        <v/>
      </c>
      <c r="R32" s="12" t="str">
        <f ca="1">IFERROR(IF($B32="","",IF(($N32*'Student Loan Inputs'!$B$4-$E32*12)&lt;0,0,$N32*'Student Loan Inputs'!$B$4-$E32*12)),"")</f>
        <v/>
      </c>
      <c r="S32" s="12" t="str">
        <f ca="1">IFERROR(IF($B32+5&gt;'Student Loan Inputs'!$AB$12,"",IF(($O32*'Student Loan Inputs'!$B$4-$F32*12)&lt;0,0,$O32*'Student Loan Inputs'!$B$4-$F32*12)),"")</f>
        <v/>
      </c>
      <c r="T32" s="12" t="str">
        <f ca="1">IFERROR(IF($B32="","",IF(($P32*'Student Loan Inputs'!$B$4-$G32*12)&lt;0,0,$P32*'Student Loan Inputs'!$B$4-$G32*12)),"")</f>
        <v/>
      </c>
      <c r="U32" s="4" t="str">
        <f t="shared" ca="1" si="11"/>
        <v/>
      </c>
      <c r="V32" s="4" t="str">
        <f t="shared" ca="1" si="3"/>
        <v/>
      </c>
      <c r="W32" s="4" t="str">
        <f t="shared" ca="1" si="4"/>
        <v/>
      </c>
      <c r="X32" s="4" t="str">
        <f t="shared" ca="1" si="5"/>
        <v/>
      </c>
    </row>
    <row r="34" spans="16:28" x14ac:dyDescent="0.35">
      <c r="Y34" s="4">
        <f ca="1">SUM(Y2:Y27)</f>
        <v>192050.70592224287</v>
      </c>
      <c r="Z34" s="4">
        <f ca="1">SUM(Z2:Z27)</f>
        <v>163465.05869460484</v>
      </c>
      <c r="AA34" s="4">
        <f ca="1">SUM(AA2:AA27)</f>
        <v>108976.70579640326</v>
      </c>
      <c r="AB34" s="4">
        <f ca="1">SUM(AB2:AB27)</f>
        <v>182221.8946324992</v>
      </c>
    </row>
    <row r="35" spans="16:28" x14ac:dyDescent="0.35">
      <c r="P35" s="4"/>
    </row>
    <row r="36" spans="16:28" x14ac:dyDescent="0.35">
      <c r="P3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Loan Inputs</vt:lpstr>
      <vt:lpstr>Summary Statistics</vt:lpstr>
      <vt:lpstr>Simulation</vt:lpstr>
    </vt:vector>
  </TitlesOfParts>
  <Company>University of Pennsylvania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Elaina Petrone</dc:creator>
  <cp:lastModifiedBy>User</cp:lastModifiedBy>
  <dcterms:created xsi:type="dcterms:W3CDTF">2015-11-18T21:39:08Z</dcterms:created>
  <dcterms:modified xsi:type="dcterms:W3CDTF">2016-08-29T06:30:29Z</dcterms:modified>
</cp:coreProperties>
</file>